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arisker/Downloads/"/>
    </mc:Choice>
  </mc:AlternateContent>
  <xr:revisionPtr revIDLastSave="0" documentId="13_ncr:1_{07DA10CF-C40D-7545-8C15-68FAB74A053C}" xr6:coauthVersionLast="47" xr6:coauthVersionMax="47" xr10:uidLastSave="{00000000-0000-0000-0000-000000000000}"/>
  <bookViews>
    <workbookView xWindow="700" yWindow="700" windowWidth="27900" windowHeight="17020" xr2:uid="{00000000-000D-0000-FFFF-FFFF00000000}"/>
  </bookViews>
  <sheets>
    <sheet name="2026 Output Data" sheetId="19" r:id="rId1"/>
    <sheet name="2025 Output Data" sheetId="14" r:id="rId2"/>
    <sheet name="2024 Output Data" sheetId="8" r:id="rId3"/>
    <sheet name="2023 Output Data" sheetId="6" r:id="rId4"/>
    <sheet name="2022 Output Data" sheetId="9" r:id="rId5"/>
    <sheet name="OPD Comparative Data" sheetId="10" state="hidden" r:id="rId6"/>
  </sheets>
  <definedNames>
    <definedName name="_xlnm.Print_Area" localSheetId="2">'2024 Output Data'!$A$1:$M$211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1" i="19" l="1"/>
  <c r="G93" i="19"/>
  <c r="F10" i="9"/>
  <c r="J141" i="9"/>
  <c r="K141" i="9"/>
  <c r="C159" i="9"/>
  <c r="D159" i="9"/>
  <c r="E159" i="9"/>
  <c r="F159" i="9"/>
  <c r="G159" i="9"/>
  <c r="H159" i="9"/>
  <c r="I159" i="9"/>
  <c r="J159" i="9"/>
  <c r="K159" i="9"/>
  <c r="K8" i="9"/>
  <c r="H210" i="19"/>
  <c r="G210" i="19"/>
  <c r="F210" i="19"/>
  <c r="E210" i="19"/>
  <c r="D210" i="19"/>
  <c r="C210" i="19"/>
  <c r="B210" i="19"/>
  <c r="H194" i="19"/>
  <c r="G194" i="19"/>
  <c r="F194" i="19"/>
  <c r="E194" i="19"/>
  <c r="D194" i="19"/>
  <c r="C194" i="19"/>
  <c r="B194" i="19"/>
  <c r="H181" i="19"/>
  <c r="G181" i="19"/>
  <c r="F181" i="19"/>
  <c r="E181" i="19"/>
  <c r="D181" i="19"/>
  <c r="C181" i="19"/>
  <c r="B181" i="19"/>
  <c r="H175" i="19"/>
  <c r="G175" i="19"/>
  <c r="F175" i="19"/>
  <c r="E175" i="19"/>
  <c r="D175" i="19"/>
  <c r="C175" i="19"/>
  <c r="B175" i="19"/>
  <c r="H169" i="19"/>
  <c r="G169" i="19"/>
  <c r="F169" i="19"/>
  <c r="E169" i="19"/>
  <c r="D169" i="19"/>
  <c r="C169" i="19"/>
  <c r="B169" i="19"/>
  <c r="H163" i="19"/>
  <c r="G163" i="19"/>
  <c r="F163" i="19"/>
  <c r="E163" i="19"/>
  <c r="D163" i="19"/>
  <c r="C163" i="19"/>
  <c r="B163" i="19"/>
  <c r="H152" i="19"/>
  <c r="G152" i="19"/>
  <c r="F152" i="19"/>
  <c r="E152" i="19"/>
  <c r="D152" i="19"/>
  <c r="C152" i="19"/>
  <c r="B152" i="19"/>
  <c r="H141" i="19"/>
  <c r="F141" i="19"/>
  <c r="E141" i="19"/>
  <c r="D141" i="19"/>
  <c r="C141" i="19"/>
  <c r="B141" i="19"/>
  <c r="H124" i="19"/>
  <c r="G124" i="19"/>
  <c r="F124" i="19"/>
  <c r="E124" i="19"/>
  <c r="D124" i="19"/>
  <c r="C124" i="19"/>
  <c r="B124" i="19"/>
  <c r="H108" i="19"/>
  <c r="G108" i="19"/>
  <c r="F108" i="19"/>
  <c r="E108" i="19"/>
  <c r="D108" i="19"/>
  <c r="C108" i="19"/>
  <c r="B108" i="19"/>
  <c r="H93" i="19"/>
  <c r="F93" i="19"/>
  <c r="E93" i="19"/>
  <c r="D93" i="19"/>
  <c r="C93" i="19"/>
  <c r="B93" i="19"/>
  <c r="H72" i="19"/>
  <c r="G72" i="19"/>
  <c r="F72" i="19"/>
  <c r="E72" i="19"/>
  <c r="D72" i="19"/>
  <c r="C72" i="19"/>
  <c r="B72" i="19"/>
  <c r="I70" i="19"/>
  <c r="H53" i="19"/>
  <c r="G53" i="19"/>
  <c r="F53" i="19"/>
  <c r="E53" i="19"/>
  <c r="D53" i="19"/>
  <c r="C53" i="19"/>
  <c r="B53" i="19"/>
  <c r="H36" i="19"/>
  <c r="G36" i="19"/>
  <c r="F36" i="19"/>
  <c r="E36" i="19"/>
  <c r="D36" i="19"/>
  <c r="C36" i="19"/>
  <c r="B36" i="19"/>
  <c r="I35" i="19"/>
  <c r="H22" i="19"/>
  <c r="H9" i="19" s="1"/>
  <c r="H15" i="19" s="1"/>
  <c r="G22" i="19"/>
  <c r="G9" i="19" s="1"/>
  <c r="G15" i="19" s="1"/>
  <c r="F22" i="19"/>
  <c r="F9" i="19" s="1"/>
  <c r="F15" i="19" s="1"/>
  <c r="E22" i="19"/>
  <c r="E9" i="19" s="1"/>
  <c r="E15" i="19" s="1"/>
  <c r="D22" i="19"/>
  <c r="D9" i="19" s="1"/>
  <c r="D15" i="19" s="1"/>
  <c r="C22" i="19"/>
  <c r="C9" i="19" s="1"/>
  <c r="B22" i="19"/>
  <c r="B9" i="19" s="1"/>
  <c r="H14" i="19"/>
  <c r="G14" i="19"/>
  <c r="F14" i="19"/>
  <c r="E14" i="19"/>
  <c r="D14" i="19"/>
  <c r="C14" i="19"/>
  <c r="B14" i="19"/>
  <c r="H12" i="19"/>
  <c r="G12" i="19"/>
  <c r="F12" i="19"/>
  <c r="E12" i="19"/>
  <c r="D12" i="19"/>
  <c r="C12" i="19"/>
  <c r="B12" i="19"/>
  <c r="H11" i="19"/>
  <c r="G11" i="19"/>
  <c r="F11" i="19"/>
  <c r="E11" i="19"/>
  <c r="D11" i="19"/>
  <c r="C11" i="19"/>
  <c r="B11" i="19"/>
  <c r="C15" i="19"/>
  <c r="I8" i="19"/>
  <c r="I7" i="19"/>
  <c r="I6" i="19"/>
  <c r="I4" i="19"/>
  <c r="M210" i="14"/>
  <c r="M181" i="14"/>
  <c r="M124" i="14"/>
  <c r="M108" i="14"/>
  <c r="M22" i="14"/>
  <c r="M12" i="14"/>
  <c r="M11" i="14"/>
  <c r="L194" i="14"/>
  <c r="M194" i="14"/>
  <c r="L210" i="14"/>
  <c r="L181" i="14"/>
  <c r="M175" i="14"/>
  <c r="L175" i="14"/>
  <c r="M169" i="14"/>
  <c r="M163" i="14"/>
  <c r="L169" i="14"/>
  <c r="L163" i="14"/>
  <c r="M152" i="14"/>
  <c r="L152" i="14"/>
  <c r="M141" i="14"/>
  <c r="L141" i="14"/>
  <c r="L124" i="14"/>
  <c r="L108" i="14"/>
  <c r="M93" i="14"/>
  <c r="L93" i="14"/>
  <c r="L72" i="14"/>
  <c r="M72" i="14"/>
  <c r="M36" i="14"/>
  <c r="L53" i="14"/>
  <c r="M53" i="14"/>
  <c r="L36" i="14"/>
  <c r="L22" i="14"/>
  <c r="L14" i="14"/>
  <c r="M14" i="14"/>
  <c r="L12" i="14"/>
  <c r="L11" i="14"/>
  <c r="K185" i="14"/>
  <c r="N185" i="14" s="1"/>
  <c r="K184" i="14"/>
  <c r="N184" i="14" s="1"/>
  <c r="K188" i="14"/>
  <c r="N188" i="14" s="1"/>
  <c r="K187" i="14"/>
  <c r="N187" i="14" s="1"/>
  <c r="K193" i="14"/>
  <c r="N193" i="14" s="1"/>
  <c r="K192" i="14"/>
  <c r="N192" i="14" s="1"/>
  <c r="K191" i="14"/>
  <c r="N191" i="14" s="1"/>
  <c r="K190" i="14"/>
  <c r="N190" i="14" s="1"/>
  <c r="K189" i="14"/>
  <c r="N189" i="14" s="1"/>
  <c r="K186" i="14"/>
  <c r="N186" i="14" s="1"/>
  <c r="K209" i="14"/>
  <c r="N209" i="14" s="1"/>
  <c r="K208" i="14"/>
  <c r="N208" i="14" s="1"/>
  <c r="K174" i="14"/>
  <c r="N174" i="14" s="1"/>
  <c r="K173" i="14"/>
  <c r="N173" i="14" s="1"/>
  <c r="K172" i="14"/>
  <c r="N172" i="14" s="1"/>
  <c r="K161" i="14"/>
  <c r="K160" i="14"/>
  <c r="K151" i="14"/>
  <c r="N151" i="14" s="1"/>
  <c r="K150" i="14"/>
  <c r="N150" i="14" s="1"/>
  <c r="K149" i="14"/>
  <c r="N149" i="14" s="1"/>
  <c r="K140" i="14"/>
  <c r="N140" i="14" s="1"/>
  <c r="K139" i="14"/>
  <c r="N139" i="14" s="1"/>
  <c r="K138" i="14"/>
  <c r="N138" i="14" s="1"/>
  <c r="K123" i="14"/>
  <c r="N123" i="14" s="1"/>
  <c r="K122" i="14"/>
  <c r="N122" i="14" s="1"/>
  <c r="K121" i="14"/>
  <c r="N121" i="14" s="1"/>
  <c r="K120" i="14"/>
  <c r="N120" i="14" s="1"/>
  <c r="K119" i="14"/>
  <c r="N119" i="14" s="1"/>
  <c r="K118" i="14"/>
  <c r="N118" i="14" s="1"/>
  <c r="K117" i="14"/>
  <c r="N117" i="14" s="1"/>
  <c r="K116" i="14"/>
  <c r="N116" i="14" s="1"/>
  <c r="K107" i="14"/>
  <c r="N107" i="14" s="1"/>
  <c r="K105" i="14"/>
  <c r="N105" i="14" s="1"/>
  <c r="K104" i="14"/>
  <c r="N104" i="14" s="1"/>
  <c r="K92" i="14"/>
  <c r="N92" i="14" s="1"/>
  <c r="K91" i="14"/>
  <c r="N91" i="14" s="1"/>
  <c r="K90" i="14"/>
  <c r="N90" i="14" s="1"/>
  <c r="K89" i="14"/>
  <c r="N89" i="14" s="1"/>
  <c r="K88" i="14"/>
  <c r="N88" i="14" s="1"/>
  <c r="K87" i="14"/>
  <c r="N87" i="14" s="1"/>
  <c r="K86" i="14"/>
  <c r="N86" i="14" s="1"/>
  <c r="K69" i="14"/>
  <c r="K68" i="14"/>
  <c r="K67" i="14"/>
  <c r="K66" i="14"/>
  <c r="K65" i="14"/>
  <c r="K64" i="14"/>
  <c r="K50" i="14"/>
  <c r="K49" i="14"/>
  <c r="K48" i="14"/>
  <c r="K47" i="14"/>
  <c r="K46" i="14"/>
  <c r="K21" i="14"/>
  <c r="K34" i="14"/>
  <c r="K33" i="14"/>
  <c r="K32" i="14"/>
  <c r="K31" i="14"/>
  <c r="K30" i="14"/>
  <c r="K18" i="14"/>
  <c r="K20" i="14"/>
  <c r="K19" i="14"/>
  <c r="K14" i="14"/>
  <c r="K12" i="14"/>
  <c r="K11" i="14"/>
  <c r="K106" i="14"/>
  <c r="N106" i="14" s="1"/>
  <c r="K210" i="14"/>
  <c r="K194" i="14"/>
  <c r="K181" i="14"/>
  <c r="K175" i="14"/>
  <c r="K169" i="14"/>
  <c r="K163" i="14"/>
  <c r="K152" i="14"/>
  <c r="K141" i="14"/>
  <c r="K124" i="14"/>
  <c r="K108" i="14"/>
  <c r="K93" i="14"/>
  <c r="K72" i="14"/>
  <c r="K53" i="14"/>
  <c r="K55" i="14"/>
  <c r="K56" i="14"/>
  <c r="K57" i="14"/>
  <c r="K58" i="14"/>
  <c r="K59" i="14"/>
  <c r="K36" i="14"/>
  <c r="K38" i="14"/>
  <c r="K39" i="14"/>
  <c r="K40" i="14"/>
  <c r="K41" i="14"/>
  <c r="K42" i="14"/>
  <c r="K22" i="14"/>
  <c r="K9" i="14"/>
  <c r="K15" i="14"/>
  <c r="K24" i="14"/>
  <c r="K25" i="14"/>
  <c r="K26" i="14"/>
  <c r="K27" i="14"/>
  <c r="N211" i="8"/>
  <c r="N153" i="8"/>
  <c r="N152" i="8"/>
  <c r="N151" i="8"/>
  <c r="N141" i="8"/>
  <c r="N139" i="8"/>
  <c r="N138" i="8"/>
  <c r="N117" i="8"/>
  <c r="N118" i="8"/>
  <c r="N119" i="8"/>
  <c r="N120" i="8"/>
  <c r="N121" i="8"/>
  <c r="N122" i="8"/>
  <c r="N123" i="8"/>
  <c r="N116" i="8"/>
  <c r="N105" i="8"/>
  <c r="N106" i="8"/>
  <c r="N107" i="8"/>
  <c r="N104" i="8"/>
  <c r="N92" i="8"/>
  <c r="N39" i="6"/>
  <c r="N40" i="6"/>
  <c r="N41" i="6"/>
  <c r="N42" i="6"/>
  <c r="N43" i="6"/>
  <c r="N38" i="6"/>
  <c r="N24" i="6"/>
  <c r="N25" i="6"/>
  <c r="N26" i="6"/>
  <c r="N23" i="6"/>
  <c r="N13" i="6"/>
  <c r="N11" i="6"/>
  <c r="N56" i="6"/>
  <c r="N57" i="6"/>
  <c r="N58" i="6"/>
  <c r="N59" i="6"/>
  <c r="N60" i="6"/>
  <c r="N61" i="6"/>
  <c r="N55" i="6"/>
  <c r="N75" i="6"/>
  <c r="N76" i="6"/>
  <c r="N77" i="6"/>
  <c r="N78" i="6"/>
  <c r="N79" i="6"/>
  <c r="N80" i="6"/>
  <c r="N81" i="6"/>
  <c r="N74" i="6"/>
  <c r="N95" i="6"/>
  <c r="N96" i="6"/>
  <c r="N97" i="6"/>
  <c r="N98" i="6"/>
  <c r="N99" i="6"/>
  <c r="N100" i="6"/>
  <c r="N94" i="6"/>
  <c r="N110" i="6"/>
  <c r="N111" i="6"/>
  <c r="N112" i="6"/>
  <c r="N109" i="6"/>
  <c r="N126" i="6"/>
  <c r="N127" i="6"/>
  <c r="N128" i="6"/>
  <c r="N129" i="6"/>
  <c r="N130" i="6"/>
  <c r="N131" i="6"/>
  <c r="N132" i="6"/>
  <c r="N125" i="6"/>
  <c r="N146" i="6"/>
  <c r="N145" i="6"/>
  <c r="N144" i="6"/>
  <c r="N143" i="6"/>
  <c r="N156" i="6"/>
  <c r="N157" i="6"/>
  <c r="N155" i="6"/>
  <c r="N170" i="6"/>
  <c r="N168" i="6"/>
  <c r="N167" i="6"/>
  <c r="N166" i="6"/>
  <c r="K152" i="9"/>
  <c r="K139" i="9"/>
  <c r="K140" i="9"/>
  <c r="K115" i="9"/>
  <c r="K116" i="9"/>
  <c r="K117" i="9"/>
  <c r="K118" i="9"/>
  <c r="K119" i="9"/>
  <c r="K120" i="9"/>
  <c r="K121" i="9"/>
  <c r="K122" i="9"/>
  <c r="K105" i="9"/>
  <c r="K106" i="9"/>
  <c r="K89" i="9"/>
  <c r="K47" i="9"/>
  <c r="K48" i="9"/>
  <c r="K49" i="9"/>
  <c r="K50" i="9"/>
  <c r="K51" i="9"/>
  <c r="K52" i="9"/>
  <c r="K30" i="9"/>
  <c r="K31" i="9"/>
  <c r="K32" i="9"/>
  <c r="K33" i="9"/>
  <c r="K34" i="9"/>
  <c r="H19" i="10"/>
  <c r="J18" i="10"/>
  <c r="H18" i="10"/>
  <c r="H20" i="10"/>
  <c r="H21" i="10"/>
  <c r="H22" i="10"/>
  <c r="H23" i="10"/>
  <c r="H17" i="10"/>
  <c r="G17" i="10"/>
  <c r="K15" i="10"/>
  <c r="L15" i="10"/>
  <c r="J15" i="10"/>
  <c r="K16" i="10"/>
  <c r="L16" i="10"/>
  <c r="M16" i="10"/>
  <c r="J16" i="10"/>
  <c r="J11" i="10"/>
  <c r="J11" i="14"/>
  <c r="K1" i="10"/>
  <c r="J1" i="10"/>
  <c r="H8" i="10"/>
  <c r="H7" i="10"/>
  <c r="H6" i="10"/>
  <c r="H5" i="10"/>
  <c r="N19" i="14"/>
  <c r="N20" i="14"/>
  <c r="N21" i="14"/>
  <c r="J194" i="14"/>
  <c r="J210" i="14"/>
  <c r="J169" i="14"/>
  <c r="J163" i="14"/>
  <c r="J181" i="14"/>
  <c r="J175" i="14"/>
  <c r="J152" i="14"/>
  <c r="J141" i="14"/>
  <c r="J124" i="14"/>
  <c r="J108" i="14"/>
  <c r="J93" i="14"/>
  <c r="J72" i="14"/>
  <c r="J74" i="14"/>
  <c r="J75" i="14"/>
  <c r="J76" i="14"/>
  <c r="J77" i="14"/>
  <c r="J78" i="14"/>
  <c r="J79" i="14"/>
  <c r="J80" i="14"/>
  <c r="J53" i="14"/>
  <c r="J36" i="14"/>
  <c r="J22" i="14"/>
  <c r="N8" i="14"/>
  <c r="N7" i="14"/>
  <c r="N14" i="14" s="1"/>
  <c r="H16" i="10"/>
  <c r="H1" i="10"/>
  <c r="H2" i="10"/>
  <c r="I13" i="10"/>
  <c r="I14" i="10"/>
  <c r="H12" i="10"/>
  <c r="H11" i="10"/>
  <c r="H10" i="10"/>
  <c r="H9" i="10"/>
  <c r="AC13" i="10"/>
  <c r="AC14" i="10"/>
  <c r="AD13" i="10"/>
  <c r="AD14" i="10"/>
  <c r="AE13" i="10"/>
  <c r="AE14" i="10"/>
  <c r="AF13" i="10"/>
  <c r="AF14" i="10"/>
  <c r="AG13" i="10"/>
  <c r="AG14" i="10"/>
  <c r="AB13" i="10"/>
  <c r="AB14" i="10"/>
  <c r="AC12" i="10"/>
  <c r="AD12" i="10"/>
  <c r="AE12" i="10"/>
  <c r="AF12" i="10"/>
  <c r="AG12" i="10"/>
  <c r="AB12" i="10"/>
  <c r="AC11" i="10"/>
  <c r="AD11" i="10"/>
  <c r="AE11" i="10"/>
  <c r="AF11" i="10"/>
  <c r="AG11" i="10"/>
  <c r="AB11" i="10"/>
  <c r="AC10" i="10"/>
  <c r="AD10" i="10"/>
  <c r="AE10" i="10"/>
  <c r="AF10" i="10"/>
  <c r="AG10" i="10"/>
  <c r="AC9" i="10"/>
  <c r="AD9" i="10"/>
  <c r="AE9" i="10"/>
  <c r="AF9" i="10"/>
  <c r="AG9" i="10"/>
  <c r="AD8" i="10"/>
  <c r="AE8" i="10"/>
  <c r="AF8" i="10"/>
  <c r="AG8" i="10"/>
  <c r="AC8" i="10"/>
  <c r="AB10" i="10"/>
  <c r="AB9" i="10"/>
  <c r="AB8" i="10"/>
  <c r="J14" i="14"/>
  <c r="J12" i="14"/>
  <c r="I11" i="14"/>
  <c r="I194" i="14"/>
  <c r="I205" i="14"/>
  <c r="I210" i="14"/>
  <c r="I212" i="14"/>
  <c r="I181" i="14"/>
  <c r="I175" i="14"/>
  <c r="I177" i="14"/>
  <c r="I178" i="14"/>
  <c r="I169" i="14"/>
  <c r="I163" i="14"/>
  <c r="I165" i="14"/>
  <c r="I152" i="14"/>
  <c r="I155" i="14"/>
  <c r="I141" i="14"/>
  <c r="I144" i="14"/>
  <c r="I124" i="14"/>
  <c r="I126" i="14"/>
  <c r="I108" i="14"/>
  <c r="I110" i="14"/>
  <c r="I93" i="14"/>
  <c r="I101" i="14"/>
  <c r="I72" i="14"/>
  <c r="I74" i="14"/>
  <c r="I53" i="14"/>
  <c r="I59" i="14"/>
  <c r="I36" i="14"/>
  <c r="I42" i="14"/>
  <c r="I22" i="14"/>
  <c r="I25" i="14"/>
  <c r="I14" i="14"/>
  <c r="I12" i="14"/>
  <c r="I204" i="14"/>
  <c r="I203" i="14"/>
  <c r="I200" i="14"/>
  <c r="I199" i="14"/>
  <c r="I198" i="14"/>
  <c r="I202" i="14"/>
  <c r="I197" i="14"/>
  <c r="I201" i="14"/>
  <c r="I196" i="14"/>
  <c r="I57" i="14"/>
  <c r="I113" i="14"/>
  <c r="I154" i="14"/>
  <c r="I156" i="14"/>
  <c r="I58" i="14"/>
  <c r="I56" i="14"/>
  <c r="I112" i="14"/>
  <c r="I143" i="14"/>
  <c r="I55" i="14"/>
  <c r="I111" i="14"/>
  <c r="I166" i="14"/>
  <c r="I145" i="14"/>
  <c r="I133" i="14"/>
  <c r="I9" i="14"/>
  <c r="I15" i="14"/>
  <c r="I132" i="14"/>
  <c r="I179" i="14"/>
  <c r="I27" i="14"/>
  <c r="I77" i="14"/>
  <c r="I131" i="14"/>
  <c r="I130" i="14"/>
  <c r="I24" i="14"/>
  <c r="I128" i="14"/>
  <c r="I127" i="14"/>
  <c r="I213" i="14"/>
  <c r="I26" i="14"/>
  <c r="I129" i="14"/>
  <c r="H194" i="14"/>
  <c r="H210" i="14"/>
  <c r="H181" i="14"/>
  <c r="H175" i="14"/>
  <c r="H169" i="14"/>
  <c r="H163" i="14"/>
  <c r="H152" i="14"/>
  <c r="H141" i="14"/>
  <c r="H124" i="14"/>
  <c r="H108" i="14"/>
  <c r="H93" i="14"/>
  <c r="H72" i="14"/>
  <c r="H53" i="14"/>
  <c r="H36" i="14"/>
  <c r="H22" i="14"/>
  <c r="H14" i="14"/>
  <c r="H12" i="14"/>
  <c r="H11" i="14"/>
  <c r="N161" i="14"/>
  <c r="N160" i="14"/>
  <c r="G194" i="14"/>
  <c r="G210" i="14"/>
  <c r="G181" i="14"/>
  <c r="G175" i="14"/>
  <c r="G169" i="14"/>
  <c r="G163" i="14"/>
  <c r="G152" i="14"/>
  <c r="G141" i="14"/>
  <c r="G124" i="14"/>
  <c r="G108" i="14"/>
  <c r="G93" i="14"/>
  <c r="N64" i="14"/>
  <c r="G72" i="14"/>
  <c r="G53" i="14"/>
  <c r="N31" i="14"/>
  <c r="N32" i="14"/>
  <c r="N33" i="14"/>
  <c r="N34" i="14"/>
  <c r="N35" i="14"/>
  <c r="N30" i="14"/>
  <c r="G36" i="14"/>
  <c r="G22" i="14"/>
  <c r="G14" i="14"/>
  <c r="G12" i="14"/>
  <c r="G11" i="14"/>
  <c r="N65" i="14"/>
  <c r="N66" i="14"/>
  <c r="N67" i="14"/>
  <c r="N68" i="14"/>
  <c r="N69" i="14"/>
  <c r="N70" i="14"/>
  <c r="F194" i="14"/>
  <c r="F210" i="14"/>
  <c r="F169" i="14"/>
  <c r="F163" i="14"/>
  <c r="F181" i="14"/>
  <c r="F175" i="14"/>
  <c r="F152" i="14"/>
  <c r="F141" i="14"/>
  <c r="F124" i="14"/>
  <c r="F108" i="14"/>
  <c r="F93" i="14"/>
  <c r="F72" i="14"/>
  <c r="F53" i="14"/>
  <c r="F36" i="14"/>
  <c r="F22" i="14"/>
  <c r="F14" i="14"/>
  <c r="F12" i="14"/>
  <c r="F11" i="14"/>
  <c r="K65" i="9"/>
  <c r="K66" i="9"/>
  <c r="K67" i="9"/>
  <c r="K68" i="9"/>
  <c r="K69" i="9"/>
  <c r="K70" i="9"/>
  <c r="K71" i="9"/>
  <c r="K64" i="9"/>
  <c r="N10" i="6"/>
  <c r="N47" i="14"/>
  <c r="N48" i="14"/>
  <c r="N49" i="14"/>
  <c r="N50" i="14"/>
  <c r="N46" i="14"/>
  <c r="N18" i="14"/>
  <c r="N6" i="14"/>
  <c r="E194" i="14"/>
  <c r="E210" i="14"/>
  <c r="E169" i="14"/>
  <c r="E163" i="14"/>
  <c r="E181" i="14"/>
  <c r="E175" i="14"/>
  <c r="E152" i="14"/>
  <c r="E141" i="14"/>
  <c r="E124" i="14"/>
  <c r="E108" i="14"/>
  <c r="E93" i="14"/>
  <c r="E72" i="14"/>
  <c r="E53" i="14"/>
  <c r="E36" i="14"/>
  <c r="E22" i="14"/>
  <c r="E14" i="14"/>
  <c r="E12" i="14"/>
  <c r="E11" i="14"/>
  <c r="C12" i="14"/>
  <c r="G23" i="10"/>
  <c r="G21" i="10"/>
  <c r="G22" i="10"/>
  <c r="F18" i="10"/>
  <c r="J17" i="10"/>
  <c r="C1" i="10"/>
  <c r="C2" i="10"/>
  <c r="D1" i="10"/>
  <c r="D2" i="10"/>
  <c r="E1" i="10"/>
  <c r="E2" i="10"/>
  <c r="F1" i="10"/>
  <c r="F2" i="10"/>
  <c r="G1" i="10"/>
  <c r="G2" i="10"/>
  <c r="B1" i="10"/>
  <c r="B2" i="10"/>
  <c r="E21" i="10"/>
  <c r="D9" i="10"/>
  <c r="E17" i="10"/>
  <c r="F17" i="10"/>
  <c r="G16" i="10"/>
  <c r="L5" i="10"/>
  <c r="G18" i="10"/>
  <c r="E23" i="10"/>
  <c r="F23" i="10"/>
  <c r="F22" i="10"/>
  <c r="E22" i="10"/>
  <c r="F20" i="10"/>
  <c r="G20" i="10"/>
  <c r="E20" i="10"/>
  <c r="B9" i="10"/>
  <c r="C9" i="10"/>
  <c r="F21" i="10"/>
  <c r="F9" i="10"/>
  <c r="G9" i="10"/>
  <c r="E9" i="10"/>
  <c r="E18" i="10"/>
  <c r="G19" i="10"/>
  <c r="E19" i="10"/>
  <c r="F19" i="10"/>
  <c r="K17" i="9"/>
  <c r="K18" i="9"/>
  <c r="K19" i="9"/>
  <c r="K20" i="9"/>
  <c r="K16" i="9"/>
  <c r="F10" i="10"/>
  <c r="R10" i="10"/>
  <c r="Q10" i="10"/>
  <c r="R4" i="10"/>
  <c r="L7" i="10"/>
  <c r="O12" i="10"/>
  <c r="O9" i="10"/>
  <c r="P10" i="10"/>
  <c r="O5" i="10"/>
  <c r="K13" i="10"/>
  <c r="K14" i="10"/>
  <c r="K5" i="10"/>
  <c r="K7" i="10"/>
  <c r="K6" i="10"/>
  <c r="G12" i="10"/>
  <c r="G11" i="10"/>
  <c r="G10" i="10"/>
  <c r="N4" i="14"/>
  <c r="D12" i="14"/>
  <c r="B12" i="14"/>
  <c r="N12" i="14" s="1"/>
  <c r="D194" i="14"/>
  <c r="D210" i="14"/>
  <c r="D124" i="14"/>
  <c r="D108" i="14"/>
  <c r="D93" i="14"/>
  <c r="D11" i="14"/>
  <c r="D169" i="14"/>
  <c r="D163" i="14"/>
  <c r="D181" i="14"/>
  <c r="D175" i="14"/>
  <c r="D152" i="14"/>
  <c r="D141" i="14"/>
  <c r="D72" i="14"/>
  <c r="D53" i="14"/>
  <c r="D36" i="14"/>
  <c r="D22" i="14"/>
  <c r="D9" i="14"/>
  <c r="D14" i="14"/>
  <c r="C194" i="14"/>
  <c r="C210" i="14"/>
  <c r="C181" i="14"/>
  <c r="C175" i="14"/>
  <c r="C169" i="14"/>
  <c r="C163" i="14"/>
  <c r="C152" i="14"/>
  <c r="C141" i="14"/>
  <c r="C124" i="14"/>
  <c r="C108" i="14"/>
  <c r="C93" i="14"/>
  <c r="C72" i="14"/>
  <c r="C53" i="14"/>
  <c r="C36" i="14"/>
  <c r="C22" i="14"/>
  <c r="C9" i="14"/>
  <c r="C14" i="14"/>
  <c r="C11" i="14"/>
  <c r="N87" i="8"/>
  <c r="N88" i="8"/>
  <c r="N89" i="8"/>
  <c r="N90" i="8"/>
  <c r="N91" i="8"/>
  <c r="N86" i="8"/>
  <c r="N19" i="8"/>
  <c r="N12" i="8"/>
  <c r="D177" i="14"/>
  <c r="D178" i="14"/>
  <c r="D179" i="14"/>
  <c r="D165" i="14"/>
  <c r="D166" i="14"/>
  <c r="D154" i="14"/>
  <c r="D155" i="14"/>
  <c r="D156" i="14"/>
  <c r="D143" i="14"/>
  <c r="D144" i="14"/>
  <c r="D145" i="14"/>
  <c r="D74" i="14"/>
  <c r="D75" i="14"/>
  <c r="D76" i="14"/>
  <c r="D77" i="14"/>
  <c r="D78" i="14"/>
  <c r="D79" i="14"/>
  <c r="D80" i="14"/>
  <c r="D55" i="14"/>
  <c r="D56" i="14"/>
  <c r="D57" i="14"/>
  <c r="D58" i="14"/>
  <c r="D59" i="14"/>
  <c r="D38" i="14"/>
  <c r="D39" i="14"/>
  <c r="D40" i="14"/>
  <c r="D41" i="14"/>
  <c r="D42" i="14"/>
  <c r="D24" i="14"/>
  <c r="D25" i="14"/>
  <c r="D26" i="14"/>
  <c r="D27" i="14"/>
  <c r="D15" i="14"/>
  <c r="B210" i="14"/>
  <c r="N210" i="14" s="1"/>
  <c r="B194" i="14"/>
  <c r="N194" i="14" s="1"/>
  <c r="B169" i="14"/>
  <c r="B163" i="14"/>
  <c r="N163" i="14" s="1"/>
  <c r="B181" i="14"/>
  <c r="B175" i="14"/>
  <c r="N175" i="14" s="1"/>
  <c r="B152" i="14"/>
  <c r="N152" i="14" s="1"/>
  <c r="B141" i="14"/>
  <c r="N141" i="14" s="1"/>
  <c r="B124" i="14"/>
  <c r="N124" i="14" s="1"/>
  <c r="B127" i="14"/>
  <c r="B108" i="14"/>
  <c r="N108" i="14" s="1"/>
  <c r="B111" i="14"/>
  <c r="B93" i="14"/>
  <c r="N93" i="14" s="1"/>
  <c r="B97" i="14"/>
  <c r="B72" i="14"/>
  <c r="N72" i="14"/>
  <c r="B76" i="14"/>
  <c r="B53" i="14"/>
  <c r="N53" i="14"/>
  <c r="B57" i="14"/>
  <c r="B36" i="14"/>
  <c r="N36" i="14"/>
  <c r="B42" i="14"/>
  <c r="B22" i="14"/>
  <c r="B25" i="14"/>
  <c r="B14" i="14"/>
  <c r="B11" i="14"/>
  <c r="N11" i="14" s="1"/>
  <c r="N163" i="8"/>
  <c r="N164" i="8"/>
  <c r="N162" i="8"/>
  <c r="N175" i="8"/>
  <c r="N176" i="8"/>
  <c r="N174" i="8"/>
  <c r="N31" i="8"/>
  <c r="N32" i="8"/>
  <c r="N33" i="8"/>
  <c r="N34" i="8"/>
  <c r="N35" i="8"/>
  <c r="N30" i="8"/>
  <c r="N210" i="8"/>
  <c r="N187" i="8"/>
  <c r="N188" i="8"/>
  <c r="N189" i="8"/>
  <c r="N190" i="8"/>
  <c r="N191" i="8"/>
  <c r="N192" i="8"/>
  <c r="N193" i="8"/>
  <c r="N194" i="8"/>
  <c r="N195" i="8"/>
  <c r="N186" i="8"/>
  <c r="M196" i="8"/>
  <c r="M183" i="8"/>
  <c r="M177" i="8"/>
  <c r="M171" i="8"/>
  <c r="M165" i="8"/>
  <c r="M167" i="8"/>
  <c r="M154" i="8"/>
  <c r="M142" i="8"/>
  <c r="M124" i="8"/>
  <c r="M108" i="8"/>
  <c r="M93" i="8"/>
  <c r="M72" i="8"/>
  <c r="M53" i="8"/>
  <c r="M36" i="8"/>
  <c r="M22" i="8"/>
  <c r="N8" i="8"/>
  <c r="M14" i="8"/>
  <c r="N7" i="8"/>
  <c r="N65" i="8"/>
  <c r="N66" i="8"/>
  <c r="N67" i="8"/>
  <c r="N68" i="8"/>
  <c r="N69" i="8"/>
  <c r="N70" i="8"/>
  <c r="N71" i="8"/>
  <c r="N64" i="8"/>
  <c r="N47" i="8"/>
  <c r="N48" i="8"/>
  <c r="N49" i="8"/>
  <c r="N50" i="8"/>
  <c r="N46" i="8"/>
  <c r="N6" i="8"/>
  <c r="B96" i="14"/>
  <c r="B126" i="14"/>
  <c r="B56" i="14"/>
  <c r="B133" i="14"/>
  <c r="B132" i="14"/>
  <c r="B75" i="14"/>
  <c r="B24" i="14"/>
  <c r="B40" i="14"/>
  <c r="B27" i="14"/>
  <c r="B39" i="14"/>
  <c r="B74" i="14"/>
  <c r="B95" i="14"/>
  <c r="B110" i="14"/>
  <c r="B131" i="14"/>
  <c r="B26" i="14"/>
  <c r="B80" i="14"/>
  <c r="B101" i="14"/>
  <c r="B113" i="14"/>
  <c r="B130" i="14"/>
  <c r="B55" i="14"/>
  <c r="B79" i="14"/>
  <c r="B100" i="14"/>
  <c r="B112" i="14"/>
  <c r="B129" i="14"/>
  <c r="B59" i="14"/>
  <c r="B78" i="14"/>
  <c r="B99" i="14"/>
  <c r="B128" i="14"/>
  <c r="B58" i="14"/>
  <c r="B77" i="14"/>
  <c r="B98" i="14"/>
  <c r="M168" i="8"/>
  <c r="M169" i="8"/>
  <c r="F16" i="10"/>
  <c r="E16" i="10"/>
  <c r="C12" i="10"/>
  <c r="D12" i="10"/>
  <c r="E12" i="10"/>
  <c r="F12" i="10"/>
  <c r="B12" i="10"/>
  <c r="C11" i="10"/>
  <c r="D11" i="10"/>
  <c r="E11" i="10"/>
  <c r="F11" i="10"/>
  <c r="B11" i="10"/>
  <c r="C10" i="10"/>
  <c r="D10" i="10"/>
  <c r="E10" i="10"/>
  <c r="B10" i="10"/>
  <c r="N18" i="8"/>
  <c r="N20" i="8"/>
  <c r="N21" i="8"/>
  <c r="L196" i="8"/>
  <c r="L183" i="8"/>
  <c r="L177" i="8"/>
  <c r="L171" i="8"/>
  <c r="L165" i="8"/>
  <c r="L154" i="8"/>
  <c r="L142" i="8"/>
  <c r="L124" i="8"/>
  <c r="L108" i="8"/>
  <c r="L93" i="8"/>
  <c r="L72" i="8"/>
  <c r="L53" i="8"/>
  <c r="L36" i="8"/>
  <c r="L22" i="8"/>
  <c r="L14" i="8"/>
  <c r="K196" i="8"/>
  <c r="K183" i="8"/>
  <c r="K177" i="8"/>
  <c r="K171" i="8"/>
  <c r="K165" i="8"/>
  <c r="K154" i="8"/>
  <c r="K142" i="8"/>
  <c r="K124" i="8"/>
  <c r="K108" i="8"/>
  <c r="K93" i="8"/>
  <c r="K72" i="8"/>
  <c r="K53" i="8"/>
  <c r="K36" i="8"/>
  <c r="K22" i="8"/>
  <c r="K14" i="8"/>
  <c r="K9" i="8"/>
  <c r="K6" i="9"/>
  <c r="J196" i="8"/>
  <c r="J200" i="8"/>
  <c r="J183" i="8"/>
  <c r="J177" i="8"/>
  <c r="J171" i="8"/>
  <c r="J165" i="8"/>
  <c r="J167" i="8"/>
  <c r="J154" i="8"/>
  <c r="J156" i="8" s="1"/>
  <c r="J157" i="8"/>
  <c r="J142" i="8"/>
  <c r="J144" i="8"/>
  <c r="J124" i="8"/>
  <c r="J130" i="8"/>
  <c r="J108" i="8"/>
  <c r="J93" i="8"/>
  <c r="J72" i="8"/>
  <c r="J78" i="8"/>
  <c r="J53" i="8"/>
  <c r="J58" i="8"/>
  <c r="J36" i="8"/>
  <c r="J40" i="8"/>
  <c r="J9" i="8"/>
  <c r="J22" i="8"/>
  <c r="J15" i="8" s="1"/>
  <c r="J27" i="8"/>
  <c r="J14" i="8"/>
  <c r="I196" i="8"/>
  <c r="I203" i="8"/>
  <c r="I183" i="8"/>
  <c r="I177" i="8"/>
  <c r="I179" i="8"/>
  <c r="I171" i="8"/>
  <c r="I165" i="8"/>
  <c r="I167" i="8"/>
  <c r="I154" i="8"/>
  <c r="I142" i="8"/>
  <c r="I145" i="8" s="1"/>
  <c r="I144" i="8"/>
  <c r="I124" i="8"/>
  <c r="I133" i="8"/>
  <c r="I108" i="8"/>
  <c r="I110" i="8"/>
  <c r="I93" i="8"/>
  <c r="I98" i="8"/>
  <c r="I72" i="8"/>
  <c r="I78" i="8"/>
  <c r="H196" i="8"/>
  <c r="H200" i="8"/>
  <c r="H183" i="8"/>
  <c r="H177" i="8"/>
  <c r="H171" i="8"/>
  <c r="H165" i="8"/>
  <c r="H167" i="8" s="1"/>
  <c r="H168" i="8"/>
  <c r="H154" i="8"/>
  <c r="H156" i="8" s="1"/>
  <c r="H157" i="8"/>
  <c r="H142" i="8"/>
  <c r="H144" i="8"/>
  <c r="H124" i="8"/>
  <c r="H130" i="8"/>
  <c r="H108" i="8"/>
  <c r="H110" i="8"/>
  <c r="H93" i="8"/>
  <c r="H98" i="8"/>
  <c r="H72" i="8"/>
  <c r="H74" i="8"/>
  <c r="H53" i="8"/>
  <c r="H59" i="8" s="1"/>
  <c r="H55" i="8"/>
  <c r="I53" i="8"/>
  <c r="I60" i="8"/>
  <c r="I36" i="8"/>
  <c r="I39" i="8" s="1"/>
  <c r="I42" i="8"/>
  <c r="I22" i="8"/>
  <c r="I9" i="8"/>
  <c r="I15" i="8"/>
  <c r="I14" i="8"/>
  <c r="H36" i="8"/>
  <c r="H43" i="8"/>
  <c r="H22" i="8"/>
  <c r="H9" i="8"/>
  <c r="H15" i="8"/>
  <c r="H14" i="8"/>
  <c r="B93" i="8"/>
  <c r="B97" i="8"/>
  <c r="C93" i="8"/>
  <c r="C98" i="8"/>
  <c r="D93" i="8"/>
  <c r="D97" i="8"/>
  <c r="E93" i="8"/>
  <c r="F93" i="8"/>
  <c r="F96" i="8"/>
  <c r="G93" i="8"/>
  <c r="G96" i="8"/>
  <c r="D95" i="8"/>
  <c r="E95" i="8"/>
  <c r="D96" i="8"/>
  <c r="E96" i="8"/>
  <c r="E97" i="8"/>
  <c r="F97" i="8"/>
  <c r="D98" i="8"/>
  <c r="E98" i="8"/>
  <c r="G98" i="8"/>
  <c r="B99" i="8"/>
  <c r="E99" i="8"/>
  <c r="B100" i="8"/>
  <c r="E100" i="8"/>
  <c r="C101" i="8"/>
  <c r="D101" i="8"/>
  <c r="E101" i="8"/>
  <c r="F101" i="8"/>
  <c r="G101" i="8"/>
  <c r="G196" i="8"/>
  <c r="G183" i="8"/>
  <c r="G177" i="8"/>
  <c r="G171" i="8"/>
  <c r="G165" i="8"/>
  <c r="G169" i="8"/>
  <c r="G154" i="8"/>
  <c r="G156" i="8"/>
  <c r="G142" i="8"/>
  <c r="G144" i="8"/>
  <c r="G124" i="8"/>
  <c r="G126" i="8"/>
  <c r="G108" i="8"/>
  <c r="G72" i="8"/>
  <c r="G53" i="8"/>
  <c r="G36" i="8"/>
  <c r="G22" i="8"/>
  <c r="G24" i="8"/>
  <c r="G14" i="8"/>
  <c r="E196" i="8"/>
  <c r="E199" i="8"/>
  <c r="F196" i="8"/>
  <c r="F207" i="8"/>
  <c r="F183" i="8"/>
  <c r="F177" i="8"/>
  <c r="F171" i="8"/>
  <c r="F165" i="8"/>
  <c r="F154" i="8"/>
  <c r="F142" i="8"/>
  <c r="F144" i="8"/>
  <c r="F124" i="8"/>
  <c r="F133" i="8"/>
  <c r="F108" i="8"/>
  <c r="F72" i="8"/>
  <c r="F53" i="8"/>
  <c r="E154" i="8"/>
  <c r="F36" i="8"/>
  <c r="F38" i="8"/>
  <c r="F22" i="8"/>
  <c r="F25" i="8"/>
  <c r="F14" i="8"/>
  <c r="F11" i="8"/>
  <c r="E171" i="8"/>
  <c r="E165" i="8"/>
  <c r="E183" i="8"/>
  <c r="N183" i="8" s="1"/>
  <c r="E177" i="8"/>
  <c r="N177" i="8" s="1"/>
  <c r="E180" i="8"/>
  <c r="E142" i="8"/>
  <c r="E146" i="8"/>
  <c r="E124" i="8"/>
  <c r="E131" i="8"/>
  <c r="E108" i="8"/>
  <c r="E72" i="8"/>
  <c r="E53" i="8"/>
  <c r="E36" i="8"/>
  <c r="E42" i="8"/>
  <c r="E14" i="8"/>
  <c r="E11" i="8"/>
  <c r="E22" i="8"/>
  <c r="E9" i="8"/>
  <c r="E15" i="8"/>
  <c r="J153" i="9"/>
  <c r="I153" i="9"/>
  <c r="G153" i="9"/>
  <c r="F153" i="9"/>
  <c r="E153" i="9"/>
  <c r="D153" i="9"/>
  <c r="C153" i="9"/>
  <c r="H151" i="9"/>
  <c r="K151" i="9" s="1"/>
  <c r="H150" i="9"/>
  <c r="K150" i="9" s="1"/>
  <c r="H153" i="9"/>
  <c r="H157" i="9"/>
  <c r="J145" i="9"/>
  <c r="I141" i="9"/>
  <c r="I143" i="9"/>
  <c r="I144" i="9"/>
  <c r="G141" i="9"/>
  <c r="G143" i="9"/>
  <c r="F141" i="9"/>
  <c r="F146" i="9"/>
  <c r="E141" i="9"/>
  <c r="E145" i="9"/>
  <c r="D141" i="9"/>
  <c r="D144" i="9"/>
  <c r="H138" i="9"/>
  <c r="K138" i="9" s="1"/>
  <c r="H137" i="9"/>
  <c r="K137" i="9" s="1"/>
  <c r="H141" i="9"/>
  <c r="J123" i="9"/>
  <c r="J127" i="9"/>
  <c r="I123" i="9"/>
  <c r="I125" i="9"/>
  <c r="I130" i="9"/>
  <c r="H123" i="9"/>
  <c r="K123" i="9" s="1"/>
  <c r="H125" i="9"/>
  <c r="J107" i="9"/>
  <c r="J112" i="9"/>
  <c r="I107" i="9"/>
  <c r="I109" i="9"/>
  <c r="G107" i="9"/>
  <c r="G111" i="9"/>
  <c r="F107" i="9"/>
  <c r="F112" i="9"/>
  <c r="E107" i="9"/>
  <c r="E111" i="9"/>
  <c r="E112" i="9"/>
  <c r="D107" i="9"/>
  <c r="D112" i="9"/>
  <c r="D111" i="9"/>
  <c r="C107" i="9"/>
  <c r="C112" i="9"/>
  <c r="B107" i="9"/>
  <c r="B112" i="9"/>
  <c r="H104" i="9"/>
  <c r="K104" i="9" s="1"/>
  <c r="H103" i="9"/>
  <c r="K103" i="9" s="1"/>
  <c r="J92" i="9"/>
  <c r="J96" i="9"/>
  <c r="J95" i="9"/>
  <c r="I92" i="9"/>
  <c r="I96" i="9"/>
  <c r="G92" i="9"/>
  <c r="G98" i="9"/>
  <c r="F92" i="9"/>
  <c r="F99" i="9"/>
  <c r="E92" i="9"/>
  <c r="E100" i="9"/>
  <c r="D92" i="9"/>
  <c r="D97" i="9"/>
  <c r="C92" i="9"/>
  <c r="C94" i="9"/>
  <c r="B92" i="9"/>
  <c r="B96" i="9"/>
  <c r="B95" i="9"/>
  <c r="H91" i="9"/>
  <c r="K91" i="9" s="1"/>
  <c r="H90" i="9"/>
  <c r="K90" i="9" s="1"/>
  <c r="H88" i="9"/>
  <c r="K88" i="9" s="1"/>
  <c r="H87" i="9"/>
  <c r="K87" i="9" s="1"/>
  <c r="H86" i="9"/>
  <c r="K86" i="9" s="1"/>
  <c r="H85" i="9"/>
  <c r="K85" i="9" s="1"/>
  <c r="H92" i="9"/>
  <c r="I72" i="9"/>
  <c r="H72" i="9"/>
  <c r="G72" i="9"/>
  <c r="F72" i="9"/>
  <c r="E72" i="9"/>
  <c r="D72" i="9"/>
  <c r="C72" i="9"/>
  <c r="B72" i="9"/>
  <c r="J53" i="9"/>
  <c r="J55" i="9"/>
  <c r="I53" i="9"/>
  <c r="I57" i="9"/>
  <c r="I56" i="9"/>
  <c r="G53" i="9"/>
  <c r="G58" i="9"/>
  <c r="F53" i="9"/>
  <c r="F59" i="9"/>
  <c r="E53" i="9"/>
  <c r="E60" i="9"/>
  <c r="D53" i="9"/>
  <c r="C53" i="9"/>
  <c r="C58" i="9"/>
  <c r="B53" i="9"/>
  <c r="B55" i="9"/>
  <c r="H46" i="9"/>
  <c r="K46" i="9" s="1"/>
  <c r="J36" i="9"/>
  <c r="J38" i="9"/>
  <c r="I36" i="9"/>
  <c r="I40" i="9"/>
  <c r="I39" i="9"/>
  <c r="H36" i="9"/>
  <c r="H40" i="9"/>
  <c r="G36" i="9"/>
  <c r="G41" i="9"/>
  <c r="F36" i="9"/>
  <c r="F42" i="9"/>
  <c r="E36" i="9"/>
  <c r="E41" i="9"/>
  <c r="E43" i="9"/>
  <c r="D36" i="9"/>
  <c r="C36" i="9"/>
  <c r="C41" i="9"/>
  <c r="B36" i="9"/>
  <c r="K36" i="9" s="1"/>
  <c r="B38" i="9"/>
  <c r="J21" i="9"/>
  <c r="J23" i="9"/>
  <c r="I21" i="9"/>
  <c r="H21" i="9"/>
  <c r="H26" i="9"/>
  <c r="G21" i="9"/>
  <c r="G23" i="9"/>
  <c r="F21" i="9"/>
  <c r="K21" i="9" s="1"/>
  <c r="F24" i="9"/>
  <c r="J13" i="9"/>
  <c r="I13" i="9"/>
  <c r="G13" i="9"/>
  <c r="F13" i="9"/>
  <c r="J10" i="9"/>
  <c r="I10" i="9"/>
  <c r="G10" i="9"/>
  <c r="H7" i="9"/>
  <c r="K7" i="9" s="1"/>
  <c r="H10" i="9"/>
  <c r="H13" i="9"/>
  <c r="D61" i="9"/>
  <c r="D60" i="9"/>
  <c r="D59" i="9"/>
  <c r="D58" i="9"/>
  <c r="D57" i="9"/>
  <c r="D56" i="9"/>
  <c r="D55" i="9"/>
  <c r="I25" i="9"/>
  <c r="I23" i="9"/>
  <c r="I26" i="9"/>
  <c r="I24" i="9"/>
  <c r="D43" i="9"/>
  <c r="D42" i="9"/>
  <c r="D41" i="9"/>
  <c r="D40" i="9"/>
  <c r="D39" i="9"/>
  <c r="D38" i="9"/>
  <c r="H143" i="9"/>
  <c r="H145" i="9"/>
  <c r="H146" i="9"/>
  <c r="H94" i="9"/>
  <c r="H100" i="9"/>
  <c r="H99" i="9"/>
  <c r="H98" i="9"/>
  <c r="I41" i="9"/>
  <c r="I58" i="9"/>
  <c r="E94" i="9"/>
  <c r="B97" i="9"/>
  <c r="J97" i="9"/>
  <c r="C109" i="9"/>
  <c r="I128" i="9"/>
  <c r="G26" i="9"/>
  <c r="E38" i="9"/>
  <c r="B41" i="9"/>
  <c r="J41" i="9"/>
  <c r="I42" i="9"/>
  <c r="E55" i="9"/>
  <c r="B58" i="9"/>
  <c r="J58" i="9"/>
  <c r="F94" i="9"/>
  <c r="E95" i="9"/>
  <c r="C97" i="9"/>
  <c r="B98" i="9"/>
  <c r="J98" i="9"/>
  <c r="D109" i="9"/>
  <c r="C110" i="9"/>
  <c r="I112" i="9"/>
  <c r="J128" i="9"/>
  <c r="I131" i="9"/>
  <c r="I146" i="9"/>
  <c r="J24" i="9"/>
  <c r="F38" i="9"/>
  <c r="E39" i="9"/>
  <c r="B42" i="9"/>
  <c r="J42" i="9"/>
  <c r="I43" i="9"/>
  <c r="F55" i="9"/>
  <c r="E56" i="9"/>
  <c r="B59" i="9"/>
  <c r="J59" i="9"/>
  <c r="I60" i="9"/>
  <c r="G94" i="9"/>
  <c r="F95" i="9"/>
  <c r="E96" i="9"/>
  <c r="C98" i="9"/>
  <c r="B99" i="9"/>
  <c r="J99" i="9"/>
  <c r="I100" i="9"/>
  <c r="E109" i="9"/>
  <c r="D110" i="9"/>
  <c r="C111" i="9"/>
  <c r="I126" i="9"/>
  <c r="H129" i="9"/>
  <c r="J131" i="9"/>
  <c r="H144" i="9"/>
  <c r="I145" i="9"/>
  <c r="J146" i="9"/>
  <c r="F26" i="9"/>
  <c r="F23" i="9"/>
  <c r="I59" i="9"/>
  <c r="F25" i="9"/>
  <c r="F39" i="9"/>
  <c r="E40" i="9"/>
  <c r="B43" i="9"/>
  <c r="J43" i="9"/>
  <c r="H53" i="9"/>
  <c r="H55" i="9"/>
  <c r="F56" i="9"/>
  <c r="E57" i="9"/>
  <c r="B60" i="9"/>
  <c r="J60" i="9"/>
  <c r="I61" i="9"/>
  <c r="G95" i="9"/>
  <c r="F96" i="9"/>
  <c r="E97" i="9"/>
  <c r="C99" i="9"/>
  <c r="B100" i="9"/>
  <c r="J100" i="9"/>
  <c r="E110" i="9"/>
  <c r="J126" i="9"/>
  <c r="I129" i="9"/>
  <c r="H132" i="9"/>
  <c r="E98" i="9"/>
  <c r="H107" i="9"/>
  <c r="I132" i="9"/>
  <c r="I38" i="9"/>
  <c r="E42" i="9"/>
  <c r="I55" i="9"/>
  <c r="E59" i="9"/>
  <c r="B94" i="9"/>
  <c r="J94" i="9"/>
  <c r="G97" i="9"/>
  <c r="F98" i="9"/>
  <c r="E99" i="9"/>
  <c r="I127" i="9"/>
  <c r="J132" i="9"/>
  <c r="D145" i="9"/>
  <c r="E146" i="9"/>
  <c r="C171" i="8"/>
  <c r="D171" i="8"/>
  <c r="B171" i="8"/>
  <c r="N171" i="8" s="1"/>
  <c r="D165" i="8"/>
  <c r="C165" i="8"/>
  <c r="B165" i="8"/>
  <c r="N165" i="8" s="1"/>
  <c r="D154" i="8"/>
  <c r="D157" i="8"/>
  <c r="C154" i="8"/>
  <c r="C157" i="8"/>
  <c r="B154" i="8"/>
  <c r="N154" i="8" s="1"/>
  <c r="B158" i="8"/>
  <c r="B156" i="8"/>
  <c r="D142" i="8"/>
  <c r="D147" i="8"/>
  <c r="C142" i="8"/>
  <c r="C145" i="8"/>
  <c r="B142" i="8"/>
  <c r="N142" i="8" s="1"/>
  <c r="B144" i="8"/>
  <c r="B147" i="8"/>
  <c r="D124" i="8"/>
  <c r="D126" i="8"/>
  <c r="C124" i="8"/>
  <c r="C130" i="8"/>
  <c r="B124" i="8"/>
  <c r="N124" i="8" s="1"/>
  <c r="B126" i="8"/>
  <c r="D108" i="8"/>
  <c r="D110" i="8"/>
  <c r="D113" i="8"/>
  <c r="C108" i="8"/>
  <c r="C113" i="8"/>
  <c r="B108" i="8"/>
  <c r="N108" i="8" s="1"/>
  <c r="B112" i="8"/>
  <c r="D72" i="8"/>
  <c r="D81" i="8"/>
  <c r="D78" i="8"/>
  <c r="C72" i="8"/>
  <c r="C74" i="8"/>
  <c r="B72" i="8"/>
  <c r="N72" i="8" s="1"/>
  <c r="B76" i="8"/>
  <c r="D53" i="8"/>
  <c r="D59" i="8"/>
  <c r="C53" i="8"/>
  <c r="C61" i="8"/>
  <c r="B53" i="8"/>
  <c r="B57" i="8"/>
  <c r="D36" i="8"/>
  <c r="D41" i="8"/>
  <c r="C36" i="8"/>
  <c r="C41" i="8"/>
  <c r="B36" i="8"/>
  <c r="N36" i="8" s="1"/>
  <c r="B40" i="8"/>
  <c r="B39" i="8"/>
  <c r="D14" i="8"/>
  <c r="C14" i="8"/>
  <c r="B14" i="8"/>
  <c r="D11" i="8"/>
  <c r="C11" i="8"/>
  <c r="B11" i="8"/>
  <c r="N11" i="8" s="1"/>
  <c r="D22" i="8"/>
  <c r="D9" i="8"/>
  <c r="D15" i="8"/>
  <c r="B22" i="8"/>
  <c r="B24" i="8"/>
  <c r="B9" i="8"/>
  <c r="B15" i="8"/>
  <c r="C126" i="8"/>
  <c r="C22" i="8"/>
  <c r="C9" i="8"/>
  <c r="C15" i="8"/>
  <c r="C132" i="8"/>
  <c r="B75" i="8"/>
  <c r="C42" i="8"/>
  <c r="C129" i="8"/>
  <c r="D42" i="8"/>
  <c r="D38" i="8"/>
  <c r="C60" i="8"/>
  <c r="D39" i="8"/>
  <c r="C55" i="8"/>
  <c r="B42" i="8"/>
  <c r="B113" i="8"/>
  <c r="B77" i="8"/>
  <c r="D43" i="8"/>
  <c r="B111" i="8"/>
  <c r="B110" i="8"/>
  <c r="B129" i="8"/>
  <c r="B130" i="8"/>
  <c r="D144" i="8"/>
  <c r="D145" i="8"/>
  <c r="C39" i="8"/>
  <c r="B74" i="8"/>
  <c r="B79" i="8"/>
  <c r="D79" i="8"/>
  <c r="B132" i="8"/>
  <c r="C146" i="8"/>
  <c r="C40" i="8"/>
  <c r="D55" i="8"/>
  <c r="D146" i="8"/>
  <c r="C156" i="8"/>
  <c r="C158" i="8"/>
  <c r="C43" i="8"/>
  <c r="D156" i="8"/>
  <c r="C147" i="8"/>
  <c r="D56" i="8"/>
  <c r="D75" i="8"/>
  <c r="C144" i="8"/>
  <c r="C38" i="8"/>
  <c r="N152" i="6"/>
  <c r="N139" i="6"/>
  <c r="N140" i="6"/>
  <c r="N121" i="6"/>
  <c r="N122" i="6"/>
  <c r="N115" i="6"/>
  <c r="N105" i="6"/>
  <c r="N106" i="6"/>
  <c r="N88" i="6"/>
  <c r="N89" i="6"/>
  <c r="N90" i="6"/>
  <c r="N91" i="6"/>
  <c r="N66" i="6"/>
  <c r="N67" i="6"/>
  <c r="N68" i="6"/>
  <c r="N70" i="6"/>
  <c r="N71" i="6"/>
  <c r="N47" i="6"/>
  <c r="N48" i="6"/>
  <c r="N49" i="6"/>
  <c r="N50" i="6"/>
  <c r="N51" i="6"/>
  <c r="N52" i="6"/>
  <c r="N31" i="6"/>
  <c r="N32" i="6"/>
  <c r="N33" i="6"/>
  <c r="N34" i="6"/>
  <c r="N30" i="6"/>
  <c r="N17" i="6"/>
  <c r="N18" i="6"/>
  <c r="N19" i="6"/>
  <c r="N16" i="6"/>
  <c r="N7" i="6"/>
  <c r="N8" i="6"/>
  <c r="N6" i="6"/>
  <c r="M170" i="6"/>
  <c r="K170" i="6"/>
  <c r="J170" i="6"/>
  <c r="I170" i="6"/>
  <c r="H170" i="6"/>
  <c r="G170" i="6"/>
  <c r="F170" i="6"/>
  <c r="E170" i="6"/>
  <c r="C170" i="6"/>
  <c r="B170" i="6"/>
  <c r="M164" i="6"/>
  <c r="M167" i="6"/>
  <c r="K164" i="6"/>
  <c r="K167" i="6"/>
  <c r="J164" i="6"/>
  <c r="J167" i="6"/>
  <c r="I164" i="6"/>
  <c r="I166" i="6"/>
  <c r="H164" i="6"/>
  <c r="H168" i="6"/>
  <c r="G164" i="6"/>
  <c r="G167" i="6"/>
  <c r="F164" i="6"/>
  <c r="F167" i="6"/>
  <c r="E164" i="6"/>
  <c r="E166" i="6"/>
  <c r="C164" i="6"/>
  <c r="C167" i="6"/>
  <c r="B164" i="6"/>
  <c r="B167" i="6"/>
  <c r="L163" i="6"/>
  <c r="N163" i="6"/>
  <c r="L162" i="6"/>
  <c r="D162" i="6"/>
  <c r="N162" i="6"/>
  <c r="L161" i="6"/>
  <c r="D161" i="6"/>
  <c r="N161" i="6"/>
  <c r="M153" i="6"/>
  <c r="M155" i="6"/>
  <c r="M157" i="6"/>
  <c r="K153" i="6"/>
  <c r="J153" i="6"/>
  <c r="J157" i="6"/>
  <c r="I153" i="6"/>
  <c r="H153" i="6"/>
  <c r="H156" i="6"/>
  <c r="G153" i="6"/>
  <c r="G157" i="6"/>
  <c r="F153" i="6"/>
  <c r="F156" i="6"/>
  <c r="E153" i="6"/>
  <c r="E157" i="6"/>
  <c r="C153" i="6"/>
  <c r="C156" i="6"/>
  <c r="D151" i="6"/>
  <c r="N151" i="6"/>
  <c r="L150" i="6"/>
  <c r="L153" i="6"/>
  <c r="L156" i="6"/>
  <c r="D150" i="6"/>
  <c r="D153" i="6"/>
  <c r="M141" i="6"/>
  <c r="M143" i="6"/>
  <c r="K141" i="6"/>
  <c r="K146" i="6"/>
  <c r="J141" i="6"/>
  <c r="J146" i="6"/>
  <c r="I141" i="6"/>
  <c r="I146" i="6"/>
  <c r="H141" i="6"/>
  <c r="H145" i="6"/>
  <c r="G141" i="6"/>
  <c r="G144" i="6"/>
  <c r="F141" i="6"/>
  <c r="F144" i="6"/>
  <c r="E141" i="6"/>
  <c r="E144" i="6"/>
  <c r="E145" i="6"/>
  <c r="C141" i="6"/>
  <c r="C145" i="6"/>
  <c r="C146" i="6"/>
  <c r="B141" i="6"/>
  <c r="B146" i="6"/>
  <c r="L138" i="6"/>
  <c r="D138" i="6"/>
  <c r="N138" i="6"/>
  <c r="L137" i="6"/>
  <c r="D137" i="6"/>
  <c r="N137" i="6"/>
  <c r="K123" i="6"/>
  <c r="K132" i="6"/>
  <c r="J123" i="6"/>
  <c r="J132" i="6"/>
  <c r="I123" i="6"/>
  <c r="I132" i="6"/>
  <c r="H123" i="6"/>
  <c r="H131" i="6"/>
  <c r="G123" i="6"/>
  <c r="G132" i="6"/>
  <c r="F123" i="6"/>
  <c r="F130" i="6"/>
  <c r="E123" i="6"/>
  <c r="E132" i="6"/>
  <c r="C123" i="6"/>
  <c r="C132" i="6"/>
  <c r="B123" i="6"/>
  <c r="B132" i="6"/>
  <c r="M120" i="6"/>
  <c r="N120" i="6"/>
  <c r="M119" i="6"/>
  <c r="D119" i="6"/>
  <c r="N119" i="6"/>
  <c r="M118" i="6"/>
  <c r="N118" i="6"/>
  <c r="L118" i="6"/>
  <c r="D118" i="6"/>
  <c r="M117" i="6"/>
  <c r="L117" i="6"/>
  <c r="D117" i="6"/>
  <c r="N117" i="6"/>
  <c r="M116" i="6"/>
  <c r="N116" i="6"/>
  <c r="L116" i="6"/>
  <c r="D116" i="6"/>
  <c r="M107" i="6"/>
  <c r="M110" i="6"/>
  <c r="K107" i="6"/>
  <c r="K112" i="6"/>
  <c r="J107" i="6"/>
  <c r="J112" i="6"/>
  <c r="I107" i="6"/>
  <c r="I109" i="6"/>
  <c r="I110" i="6"/>
  <c r="H107" i="6"/>
  <c r="H111" i="6"/>
  <c r="G107" i="6"/>
  <c r="G109" i="6"/>
  <c r="F107" i="6"/>
  <c r="F112" i="6"/>
  <c r="F110" i="6"/>
  <c r="E107" i="6"/>
  <c r="E109" i="6"/>
  <c r="C107" i="6"/>
  <c r="C112" i="6"/>
  <c r="B107" i="6"/>
  <c r="B110" i="6"/>
  <c r="L104" i="6"/>
  <c r="D104" i="6"/>
  <c r="N104" i="6"/>
  <c r="L103" i="6"/>
  <c r="D103" i="6"/>
  <c r="N103" i="6"/>
  <c r="M92" i="6"/>
  <c r="M100" i="6"/>
  <c r="K92" i="6"/>
  <c r="K97" i="6"/>
  <c r="J92" i="6"/>
  <c r="J97" i="6"/>
  <c r="I92" i="6"/>
  <c r="I100" i="6"/>
  <c r="H92" i="6"/>
  <c r="H99" i="6"/>
  <c r="G92" i="6"/>
  <c r="G99" i="6"/>
  <c r="F92" i="6"/>
  <c r="F100" i="6"/>
  <c r="F99" i="6"/>
  <c r="E92" i="6"/>
  <c r="E94" i="6"/>
  <c r="C92" i="6"/>
  <c r="C99" i="6"/>
  <c r="B92" i="6"/>
  <c r="D87" i="6"/>
  <c r="N87" i="6"/>
  <c r="L86" i="6"/>
  <c r="L92" i="6"/>
  <c r="D86" i="6"/>
  <c r="L85" i="6"/>
  <c r="D85" i="6"/>
  <c r="N85" i="6"/>
  <c r="M72" i="6"/>
  <c r="K72" i="6"/>
  <c r="K81" i="6"/>
  <c r="J72" i="6"/>
  <c r="J79" i="6"/>
  <c r="I72" i="6"/>
  <c r="I81" i="6"/>
  <c r="H72" i="6"/>
  <c r="H81" i="6"/>
  <c r="G72" i="6"/>
  <c r="F72" i="6"/>
  <c r="E72" i="6"/>
  <c r="D72" i="6"/>
  <c r="C72" i="6"/>
  <c r="B72" i="6"/>
  <c r="B74" i="6"/>
  <c r="L69" i="6"/>
  <c r="L65" i="6"/>
  <c r="N65" i="6"/>
  <c r="L64" i="6"/>
  <c r="M53" i="6"/>
  <c r="M61" i="6"/>
  <c r="K53" i="6"/>
  <c r="K57" i="6"/>
  <c r="J53" i="6"/>
  <c r="J56" i="6"/>
  <c r="I53" i="6"/>
  <c r="I56" i="6"/>
  <c r="I60" i="6"/>
  <c r="H53" i="6"/>
  <c r="H60" i="6"/>
  <c r="G53" i="6"/>
  <c r="G57" i="6"/>
  <c r="G61" i="6"/>
  <c r="F53" i="6"/>
  <c r="F60" i="6"/>
  <c r="E53" i="6"/>
  <c r="D53" i="6"/>
  <c r="D60" i="6"/>
  <c r="C53" i="6"/>
  <c r="C60" i="6"/>
  <c r="B53" i="6"/>
  <c r="B61" i="6"/>
  <c r="L46" i="6"/>
  <c r="N46" i="6"/>
  <c r="L53" i="6"/>
  <c r="L57" i="6"/>
  <c r="M36" i="6"/>
  <c r="M43" i="6"/>
  <c r="L36" i="6"/>
  <c r="L38" i="6"/>
  <c r="K36" i="6"/>
  <c r="K38" i="6"/>
  <c r="J36" i="6"/>
  <c r="J39" i="6"/>
  <c r="I36" i="6"/>
  <c r="I38" i="6"/>
  <c r="H36" i="6"/>
  <c r="H40" i="6"/>
  <c r="G36" i="6"/>
  <c r="G39" i="6"/>
  <c r="F36" i="6"/>
  <c r="F42" i="6"/>
  <c r="F38" i="6"/>
  <c r="E36" i="6"/>
  <c r="D36" i="6"/>
  <c r="D43" i="6"/>
  <c r="C36" i="6"/>
  <c r="C42" i="6"/>
  <c r="C43" i="6"/>
  <c r="B36" i="6"/>
  <c r="B39" i="6"/>
  <c r="M21" i="6"/>
  <c r="M24" i="6"/>
  <c r="L21" i="6"/>
  <c r="L23" i="6"/>
  <c r="L25" i="6"/>
  <c r="K21" i="6"/>
  <c r="K24" i="6"/>
  <c r="J21" i="6"/>
  <c r="J25" i="6"/>
  <c r="I21" i="6"/>
  <c r="I26" i="6"/>
  <c r="H21" i="6"/>
  <c r="H24" i="6"/>
  <c r="G21" i="6"/>
  <c r="G26" i="6"/>
  <c r="F21" i="6"/>
  <c r="F24" i="6"/>
  <c r="E21" i="6"/>
  <c r="E25" i="6"/>
  <c r="D21" i="6"/>
  <c r="D25" i="6"/>
  <c r="C21" i="6"/>
  <c r="C25" i="6"/>
  <c r="B21" i="6"/>
  <c r="B26" i="6"/>
  <c r="M13" i="6"/>
  <c r="L13" i="6"/>
  <c r="K13" i="6"/>
  <c r="J13" i="6"/>
  <c r="I13" i="6"/>
  <c r="H13" i="6"/>
  <c r="G13" i="6"/>
  <c r="F13" i="6"/>
  <c r="E13" i="6"/>
  <c r="D13" i="6"/>
  <c r="C13" i="6"/>
  <c r="B13" i="6"/>
  <c r="M10" i="6"/>
  <c r="L10" i="6"/>
  <c r="K10" i="6"/>
  <c r="J10" i="6"/>
  <c r="I10" i="6"/>
  <c r="H10" i="6"/>
  <c r="G10" i="6"/>
  <c r="F10" i="6"/>
  <c r="E10" i="6"/>
  <c r="D10" i="6"/>
  <c r="C10" i="6"/>
  <c r="B10" i="6"/>
  <c r="C25" i="8"/>
  <c r="D27" i="8"/>
  <c r="D26" i="8"/>
  <c r="D24" i="8"/>
  <c r="D25" i="8"/>
  <c r="M23" i="6"/>
  <c r="C26" i="6"/>
  <c r="J40" i="6"/>
  <c r="F43" i="6"/>
  <c r="F55" i="6"/>
  <c r="F57" i="6"/>
  <c r="G60" i="6"/>
  <c r="K95" i="6"/>
  <c r="G100" i="6"/>
  <c r="I127" i="6"/>
  <c r="I131" i="6"/>
  <c r="C125" i="6"/>
  <c r="C131" i="6"/>
  <c r="C40" i="6"/>
  <c r="D55" i="6"/>
  <c r="J81" i="6"/>
  <c r="J95" i="6"/>
  <c r="E127" i="6"/>
  <c r="E168" i="6"/>
  <c r="I24" i="6"/>
  <c r="D26" i="6"/>
  <c r="D39" i="6"/>
  <c r="K40" i="6"/>
  <c r="I55" i="6"/>
  <c r="I57" i="6"/>
  <c r="L61" i="6"/>
  <c r="I76" i="6"/>
  <c r="H78" i="6"/>
  <c r="F94" i="6"/>
  <c r="F96" i="6"/>
  <c r="F98" i="6"/>
  <c r="H100" i="6"/>
  <c r="C109" i="6"/>
  <c r="C111" i="6"/>
  <c r="K125" i="6"/>
  <c r="J127" i="6"/>
  <c r="K129" i="6"/>
  <c r="J131" i="6"/>
  <c r="E156" i="6"/>
  <c r="K166" i="6"/>
  <c r="K168" i="6"/>
  <c r="C129" i="6"/>
  <c r="J74" i="6"/>
  <c r="J24" i="6"/>
  <c r="E26" i="6"/>
  <c r="C38" i="6"/>
  <c r="L40" i="6"/>
  <c r="L55" i="6"/>
  <c r="J76" i="6"/>
  <c r="G94" i="6"/>
  <c r="G96" i="6"/>
  <c r="G98" i="6"/>
  <c r="E111" i="6"/>
  <c r="E126" i="6"/>
  <c r="E130" i="6"/>
  <c r="J156" i="6"/>
  <c r="M166" i="6"/>
  <c r="D59" i="6"/>
  <c r="E155" i="6"/>
  <c r="D23" i="6"/>
  <c r="F26" i="6"/>
  <c r="D38" i="6"/>
  <c r="F39" i="6"/>
  <c r="J41" i="6"/>
  <c r="C56" i="6"/>
  <c r="C58" i="6"/>
  <c r="K60" i="6"/>
  <c r="J78" i="6"/>
  <c r="B81" i="6"/>
  <c r="H94" i="6"/>
  <c r="H96" i="6"/>
  <c r="H98" i="6"/>
  <c r="J109" i="6"/>
  <c r="J111" i="6"/>
  <c r="G126" i="6"/>
  <c r="G128" i="6"/>
  <c r="G130" i="6"/>
  <c r="B143" i="6"/>
  <c r="I144" i="6"/>
  <c r="M156" i="6"/>
  <c r="D61" i="6"/>
  <c r="C127" i="6"/>
  <c r="F155" i="6"/>
  <c r="C168" i="6"/>
  <c r="K42" i="6"/>
  <c r="D57" i="6"/>
  <c r="E131" i="6"/>
  <c r="C166" i="6"/>
  <c r="E23" i="6"/>
  <c r="L26" i="6"/>
  <c r="L41" i="6"/>
  <c r="G56" i="6"/>
  <c r="K58" i="6"/>
  <c r="C61" i="6"/>
  <c r="I94" i="6"/>
  <c r="I96" i="6"/>
  <c r="I98" i="6"/>
  <c r="K109" i="6"/>
  <c r="K111" i="6"/>
  <c r="I126" i="6"/>
  <c r="I128" i="6"/>
  <c r="I130" i="6"/>
  <c r="C143" i="6"/>
  <c r="B145" i="6"/>
  <c r="F157" i="6"/>
  <c r="H43" i="6"/>
  <c r="M57" i="6"/>
  <c r="I155" i="6"/>
  <c r="I157" i="6"/>
  <c r="B24" i="6"/>
  <c r="M78" i="6"/>
  <c r="M76" i="6"/>
  <c r="M74" i="6"/>
  <c r="M81" i="6"/>
  <c r="F145" i="6"/>
  <c r="F143" i="6"/>
  <c r="L157" i="6"/>
  <c r="C24" i="6"/>
  <c r="L24" i="6"/>
  <c r="I25" i="6"/>
  <c r="H38" i="6"/>
  <c r="L43" i="6"/>
  <c r="E55" i="6"/>
  <c r="E56" i="6"/>
  <c r="E57" i="6"/>
  <c r="G58" i="6"/>
  <c r="G59" i="6"/>
  <c r="D81" i="6"/>
  <c r="M109" i="6"/>
  <c r="I112" i="6"/>
  <c r="F126" i="6"/>
  <c r="D141" i="6"/>
  <c r="D143" i="6"/>
  <c r="G145" i="6"/>
  <c r="G143" i="6"/>
  <c r="E143" i="6"/>
  <c r="M145" i="6"/>
  <c r="K155" i="6"/>
  <c r="K157" i="6"/>
  <c r="H157" i="6"/>
  <c r="E167" i="6"/>
  <c r="I168" i="6"/>
  <c r="H41" i="6"/>
  <c r="C100" i="6"/>
  <c r="C98" i="6"/>
  <c r="C96" i="6"/>
  <c r="C94" i="6"/>
  <c r="L107" i="6"/>
  <c r="L110" i="6"/>
  <c r="H23" i="6"/>
  <c r="D41" i="6"/>
  <c r="B42" i="6"/>
  <c r="L42" i="6"/>
  <c r="H61" i="6"/>
  <c r="H59" i="6"/>
  <c r="H57" i="6"/>
  <c r="H55" i="6"/>
  <c r="H58" i="6"/>
  <c r="D74" i="6"/>
  <c r="M79" i="6"/>
  <c r="I111" i="6"/>
  <c r="M112" i="6"/>
  <c r="F131" i="6"/>
  <c r="F129" i="6"/>
  <c r="F127" i="6"/>
  <c r="F125" i="6"/>
  <c r="L141" i="6"/>
  <c r="L143" i="6"/>
  <c r="M144" i="6"/>
  <c r="E146" i="6"/>
  <c r="C155" i="6"/>
  <c r="C157" i="6"/>
  <c r="H42" i="6"/>
  <c r="M60" i="6"/>
  <c r="M58" i="6"/>
  <c r="I43" i="6"/>
  <c r="I41" i="6"/>
  <c r="I39" i="6"/>
  <c r="J43" i="6"/>
  <c r="D24" i="6"/>
  <c r="I23" i="6"/>
  <c r="E24" i="6"/>
  <c r="B25" i="6"/>
  <c r="E42" i="6"/>
  <c r="E40" i="6"/>
  <c r="M42" i="6"/>
  <c r="M40" i="6"/>
  <c r="J38" i="6"/>
  <c r="F40" i="6"/>
  <c r="E41" i="6"/>
  <c r="L60" i="6"/>
  <c r="L58" i="6"/>
  <c r="L56" i="6"/>
  <c r="I61" i="6"/>
  <c r="I59" i="6"/>
  <c r="G55" i="6"/>
  <c r="H56" i="6"/>
  <c r="I58" i="6"/>
  <c r="L59" i="6"/>
  <c r="I99" i="6"/>
  <c r="D123" i="6"/>
  <c r="D129" i="6"/>
  <c r="G131" i="6"/>
  <c r="G129" i="6"/>
  <c r="G127" i="6"/>
  <c r="G125" i="6"/>
  <c r="E125" i="6"/>
  <c r="E129" i="6"/>
  <c r="D144" i="6"/>
  <c r="F146" i="6"/>
  <c r="I156" i="6"/>
  <c r="D170" i="6"/>
  <c r="D164" i="6"/>
  <c r="D168" i="6"/>
  <c r="D166" i="6"/>
  <c r="F168" i="6"/>
  <c r="F166" i="6"/>
  <c r="E60" i="6"/>
  <c r="E58" i="6"/>
  <c r="E59" i="6"/>
  <c r="H26" i="6"/>
  <c r="D40" i="6"/>
  <c r="M75" i="6"/>
  <c r="B23" i="6"/>
  <c r="J23" i="6"/>
  <c r="J26" i="6"/>
  <c r="B38" i="6"/>
  <c r="H39" i="6"/>
  <c r="F41" i="6"/>
  <c r="D42" i="6"/>
  <c r="M59" i="6"/>
  <c r="E61" i="6"/>
  <c r="D75" i="6"/>
  <c r="D76" i="6"/>
  <c r="D77" i="6"/>
  <c r="D78" i="6"/>
  <c r="D79" i="6"/>
  <c r="D80" i="6"/>
  <c r="J100" i="6"/>
  <c r="J98" i="6"/>
  <c r="J96" i="6"/>
  <c r="J94" i="6"/>
  <c r="C97" i="6"/>
  <c r="J99" i="6"/>
  <c r="F111" i="6"/>
  <c r="F109" i="6"/>
  <c r="L123" i="6"/>
  <c r="L126" i="6"/>
  <c r="E128" i="6"/>
  <c r="L144" i="6"/>
  <c r="G146" i="6"/>
  <c r="L170" i="6"/>
  <c r="L164" i="6"/>
  <c r="L168" i="6"/>
  <c r="L166" i="6"/>
  <c r="G168" i="6"/>
  <c r="G166" i="6"/>
  <c r="I167" i="6"/>
  <c r="M168" i="6"/>
  <c r="M56" i="6"/>
  <c r="D127" i="6"/>
  <c r="M146" i="6"/>
  <c r="H155" i="6"/>
  <c r="I42" i="6"/>
  <c r="M55" i="6"/>
  <c r="C95" i="6"/>
  <c r="H25" i="6"/>
  <c r="J42" i="6"/>
  <c r="M77" i="6"/>
  <c r="C23" i="6"/>
  <c r="G42" i="6"/>
  <c r="G40" i="6"/>
  <c r="G38" i="6"/>
  <c r="G43" i="6"/>
  <c r="I40" i="6"/>
  <c r="G41" i="6"/>
  <c r="E43" i="6"/>
  <c r="K55" i="6"/>
  <c r="K56" i="6"/>
  <c r="C59" i="6"/>
  <c r="B100" i="6"/>
  <c r="B98" i="6"/>
  <c r="B96" i="6"/>
  <c r="B94" i="6"/>
  <c r="K100" i="6"/>
  <c r="K98" i="6"/>
  <c r="K96" i="6"/>
  <c r="K94" i="6"/>
  <c r="K99" i="6"/>
  <c r="D107" i="6"/>
  <c r="D109" i="6"/>
  <c r="D110" i="6"/>
  <c r="F128" i="6"/>
  <c r="F132" i="6"/>
  <c r="G156" i="6"/>
  <c r="G155" i="6"/>
  <c r="K156" i="6"/>
  <c r="D167" i="6"/>
  <c r="B56" i="6"/>
  <c r="B58" i="6"/>
  <c r="B60" i="6"/>
  <c r="H110" i="6"/>
  <c r="H112" i="6"/>
  <c r="H126" i="6"/>
  <c r="H128" i="6"/>
  <c r="H130" i="6"/>
  <c r="H132" i="6"/>
  <c r="H144" i="6"/>
  <c r="H146" i="6"/>
  <c r="H167" i="6"/>
  <c r="D56" i="6"/>
  <c r="D58" i="6"/>
  <c r="I75" i="6"/>
  <c r="I77" i="6"/>
  <c r="I79" i="6"/>
  <c r="F95" i="6"/>
  <c r="F97" i="6"/>
  <c r="J110" i="6"/>
  <c r="B126" i="6"/>
  <c r="J126" i="6"/>
  <c r="B128" i="6"/>
  <c r="J128" i="6"/>
  <c r="B130" i="6"/>
  <c r="J130" i="6"/>
  <c r="B144" i="6"/>
  <c r="J144" i="6"/>
  <c r="J75" i="6"/>
  <c r="J77" i="6"/>
  <c r="G95" i="6"/>
  <c r="G97" i="6"/>
  <c r="C110" i="6"/>
  <c r="K110" i="6"/>
  <c r="C126" i="6"/>
  <c r="K126" i="6"/>
  <c r="C128" i="6"/>
  <c r="K128" i="6"/>
  <c r="C130" i="6"/>
  <c r="K130" i="6"/>
  <c r="C144" i="6"/>
  <c r="K144" i="6"/>
  <c r="C39" i="6"/>
  <c r="K39" i="6"/>
  <c r="C41" i="6"/>
  <c r="K41" i="6"/>
  <c r="B55" i="6"/>
  <c r="J55" i="6"/>
  <c r="F56" i="6"/>
  <c r="B57" i="6"/>
  <c r="F58" i="6"/>
  <c r="B59" i="6"/>
  <c r="K77" i="6"/>
  <c r="H95" i="6"/>
  <c r="H97" i="6"/>
  <c r="H109" i="6"/>
  <c r="H125" i="6"/>
  <c r="H127" i="6"/>
  <c r="H129" i="6"/>
  <c r="H143" i="6"/>
  <c r="H166" i="6"/>
  <c r="L109" i="6"/>
  <c r="L167" i="6"/>
  <c r="D112" i="6"/>
  <c r="D111" i="6"/>
  <c r="L132" i="6"/>
  <c r="L130" i="6"/>
  <c r="L131" i="6"/>
  <c r="L129" i="6"/>
  <c r="L127" i="6"/>
  <c r="L125" i="6"/>
  <c r="L128" i="6"/>
  <c r="D132" i="6"/>
  <c r="D130" i="6"/>
  <c r="D131" i="6"/>
  <c r="D125" i="6"/>
  <c r="L146" i="6"/>
  <c r="L145" i="6"/>
  <c r="L112" i="6"/>
  <c r="L111" i="6"/>
  <c r="D146" i="6"/>
  <c r="D145" i="6"/>
  <c r="H112" i="9"/>
  <c r="H111" i="9"/>
  <c r="H57" i="9"/>
  <c r="H56" i="9"/>
  <c r="H59" i="9"/>
  <c r="H61" i="9"/>
  <c r="H60" i="9"/>
  <c r="H58" i="9"/>
  <c r="D128" i="6"/>
  <c r="D126" i="6"/>
  <c r="F25" i="6"/>
  <c r="F23" i="6"/>
  <c r="G23" i="6"/>
  <c r="M26" i="6"/>
  <c r="M25" i="6"/>
  <c r="E39" i="6"/>
  <c r="E38" i="6"/>
  <c r="M41" i="6"/>
  <c r="M39" i="6"/>
  <c r="M38" i="6"/>
  <c r="N53" i="6"/>
  <c r="C57" i="6"/>
  <c r="C55" i="6"/>
  <c r="F61" i="6"/>
  <c r="F59" i="6"/>
  <c r="K61" i="6"/>
  <c r="K59" i="6"/>
  <c r="N64" i="6"/>
  <c r="N69" i="6"/>
  <c r="E75" i="6"/>
  <c r="E76" i="6"/>
  <c r="E77" i="6"/>
  <c r="E78" i="6"/>
  <c r="E79" i="6"/>
  <c r="E80" i="6"/>
  <c r="E81" i="6"/>
  <c r="E74" i="6"/>
  <c r="F75" i="6"/>
  <c r="F76" i="6"/>
  <c r="F77" i="6"/>
  <c r="F78" i="6"/>
  <c r="F79" i="6"/>
  <c r="F80" i="6"/>
  <c r="F81" i="6"/>
  <c r="F74" i="6"/>
  <c r="G75" i="6"/>
  <c r="G76" i="6"/>
  <c r="G77" i="6"/>
  <c r="G78" i="6"/>
  <c r="G79" i="6"/>
  <c r="G80" i="6"/>
  <c r="G81" i="6"/>
  <c r="G74" i="6"/>
  <c r="H79" i="6"/>
  <c r="H77" i="6"/>
  <c r="H76" i="6"/>
  <c r="H75" i="6"/>
  <c r="H74" i="6"/>
  <c r="I78" i="6"/>
  <c r="I74" i="6"/>
  <c r="B99" i="6"/>
  <c r="B97" i="6"/>
  <c r="B95" i="6"/>
  <c r="I97" i="6"/>
  <c r="I95" i="6"/>
  <c r="E112" i="6"/>
  <c r="E110" i="6"/>
  <c r="B131" i="6"/>
  <c r="B129" i="6"/>
  <c r="B127" i="6"/>
  <c r="B125" i="6"/>
  <c r="I129" i="6"/>
  <c r="I125" i="6"/>
  <c r="J129" i="6"/>
  <c r="J125" i="6"/>
  <c r="K131" i="6"/>
  <c r="K127" i="6"/>
  <c r="N141" i="6"/>
  <c r="I145" i="6"/>
  <c r="I143" i="6"/>
  <c r="J145" i="6"/>
  <c r="J143" i="6"/>
  <c r="K145" i="6"/>
  <c r="K143" i="6"/>
  <c r="L155" i="6"/>
  <c r="N164" i="6"/>
  <c r="B168" i="6"/>
  <c r="B166" i="6"/>
  <c r="J168" i="6"/>
  <c r="J166" i="6"/>
  <c r="H109" i="9"/>
  <c r="H110" i="9"/>
  <c r="G25" i="9"/>
  <c r="G24" i="9"/>
  <c r="H25" i="9"/>
  <c r="H24" i="9"/>
  <c r="H23" i="9"/>
  <c r="J26" i="9"/>
  <c r="J25" i="9"/>
  <c r="B40" i="9"/>
  <c r="B39" i="9"/>
  <c r="C43" i="9"/>
  <c r="C42" i="9"/>
  <c r="C40" i="9"/>
  <c r="C39" i="9"/>
  <c r="C38" i="9"/>
  <c r="F43" i="9"/>
  <c r="F41" i="9"/>
  <c r="F40" i="9"/>
  <c r="G43" i="9"/>
  <c r="G42" i="9"/>
  <c r="G40" i="9"/>
  <c r="G39" i="9"/>
  <c r="G38" i="9"/>
  <c r="H43" i="9"/>
  <c r="H42" i="9"/>
  <c r="H41" i="9"/>
  <c r="H39" i="9"/>
  <c r="H38" i="9"/>
  <c r="J40" i="9"/>
  <c r="J39" i="9"/>
  <c r="B61" i="9"/>
  <c r="B57" i="9"/>
  <c r="B56" i="9"/>
  <c r="C61" i="9"/>
  <c r="C60" i="9"/>
  <c r="C59" i="9"/>
  <c r="C57" i="9"/>
  <c r="C56" i="9"/>
  <c r="C55" i="9"/>
  <c r="E61" i="9"/>
  <c r="E58" i="9"/>
  <c r="F61" i="9"/>
  <c r="F60" i="9"/>
  <c r="F58" i="9"/>
  <c r="F57" i="9"/>
  <c r="G61" i="9"/>
  <c r="G60" i="9"/>
  <c r="G59" i="9"/>
  <c r="G57" i="9"/>
  <c r="G56" i="9"/>
  <c r="G55" i="9"/>
  <c r="J61" i="9"/>
  <c r="J57" i="9"/>
  <c r="J56" i="9"/>
  <c r="B81" i="9"/>
  <c r="B79" i="9"/>
  <c r="B78" i="9"/>
  <c r="B77" i="9"/>
  <c r="B76" i="9"/>
  <c r="B75" i="9"/>
  <c r="B74" i="9"/>
  <c r="C81" i="9"/>
  <c r="C77" i="9"/>
  <c r="C79" i="9"/>
  <c r="C78" i="9"/>
  <c r="C76" i="9"/>
  <c r="C75" i="9"/>
  <c r="C74" i="9"/>
  <c r="D81" i="9"/>
  <c r="D79" i="9"/>
  <c r="D78" i="9"/>
  <c r="D77" i="9"/>
  <c r="D76" i="9"/>
  <c r="D75" i="9"/>
  <c r="D74" i="9"/>
  <c r="E81" i="9"/>
  <c r="E79" i="9"/>
  <c r="E78" i="9"/>
  <c r="E77" i="9"/>
  <c r="E76" i="9"/>
  <c r="E75" i="9"/>
  <c r="E74" i="9"/>
  <c r="F81" i="9"/>
  <c r="F79" i="9"/>
  <c r="F78" i="9"/>
  <c r="F77" i="9"/>
  <c r="F76" i="9"/>
  <c r="F75" i="9"/>
  <c r="F74" i="9"/>
  <c r="G81" i="9"/>
  <c r="G79" i="9"/>
  <c r="G78" i="9"/>
  <c r="G77" i="9"/>
  <c r="G76" i="9"/>
  <c r="G75" i="9"/>
  <c r="G74" i="9"/>
  <c r="H81" i="9"/>
  <c r="H79" i="9"/>
  <c r="H78" i="9"/>
  <c r="H77" i="9"/>
  <c r="H76" i="9"/>
  <c r="H75" i="9"/>
  <c r="H74" i="9"/>
  <c r="I81" i="9"/>
  <c r="I79" i="9"/>
  <c r="I78" i="9"/>
  <c r="I77" i="9"/>
  <c r="I76" i="9"/>
  <c r="I75" i="9"/>
  <c r="I74" i="9"/>
  <c r="H97" i="9"/>
  <c r="H96" i="9"/>
  <c r="H95" i="9"/>
  <c r="C100" i="9"/>
  <c r="C96" i="9"/>
  <c r="C95" i="9"/>
  <c r="D100" i="9"/>
  <c r="D99" i="9"/>
  <c r="D98" i="9"/>
  <c r="D96" i="9"/>
  <c r="D95" i="9"/>
  <c r="D94" i="9"/>
  <c r="F100" i="9"/>
  <c r="F97" i="9"/>
  <c r="G100" i="9"/>
  <c r="G99" i="9"/>
  <c r="G96" i="9"/>
  <c r="I99" i="9"/>
  <c r="I98" i="9"/>
  <c r="I97" i="9"/>
  <c r="I95" i="9"/>
  <c r="I94" i="9"/>
  <c r="B111" i="9"/>
  <c r="B110" i="9"/>
  <c r="B109" i="9"/>
  <c r="F111" i="9"/>
  <c r="F110" i="9"/>
  <c r="F109" i="9"/>
  <c r="G112" i="9"/>
  <c r="G110" i="9"/>
  <c r="G109" i="9"/>
  <c r="I111" i="9"/>
  <c r="I110" i="9"/>
  <c r="J111" i="9"/>
  <c r="J110" i="9"/>
  <c r="J109" i="9"/>
  <c r="H131" i="9"/>
  <c r="H130" i="9"/>
  <c r="H128" i="9"/>
  <c r="H127" i="9"/>
  <c r="H126" i="9"/>
  <c r="J130" i="9"/>
  <c r="J129" i="9"/>
  <c r="J125" i="9"/>
  <c r="D146" i="9"/>
  <c r="D143" i="9"/>
  <c r="E144" i="9"/>
  <c r="E143" i="9"/>
  <c r="F145" i="9"/>
  <c r="F144" i="9"/>
  <c r="F143" i="9"/>
  <c r="G146" i="9"/>
  <c r="G145" i="9"/>
  <c r="G144" i="9"/>
  <c r="J144" i="9"/>
  <c r="J143" i="9"/>
  <c r="H155" i="9"/>
  <c r="H156" i="9"/>
  <c r="C155" i="9"/>
  <c r="C156" i="9"/>
  <c r="C157" i="9"/>
  <c r="D157" i="9"/>
  <c r="D156" i="9"/>
  <c r="D155" i="9"/>
  <c r="E157" i="9"/>
  <c r="E156" i="9"/>
  <c r="E155" i="9"/>
  <c r="F157" i="9"/>
  <c r="F156" i="9"/>
  <c r="F155" i="9"/>
  <c r="G157" i="9"/>
  <c r="G156" i="9"/>
  <c r="G155" i="9"/>
  <c r="I157" i="9"/>
  <c r="I156" i="9"/>
  <c r="I155" i="9"/>
  <c r="J157" i="9"/>
  <c r="J156" i="9"/>
  <c r="J155" i="9"/>
  <c r="F202" i="8"/>
  <c r="F74" i="8"/>
  <c r="F75" i="8"/>
  <c r="F76" i="8"/>
  <c r="F77" i="8"/>
  <c r="F78" i="8"/>
  <c r="F79" i="8"/>
  <c r="F80" i="8"/>
  <c r="F81" i="8"/>
  <c r="F110" i="8"/>
  <c r="F111" i="8"/>
  <c r="F112" i="8"/>
  <c r="F113" i="8"/>
  <c r="F132" i="8"/>
  <c r="F156" i="8"/>
  <c r="F157" i="8"/>
  <c r="F158" i="8"/>
  <c r="F181" i="8"/>
  <c r="F41" i="8"/>
  <c r="F42" i="8"/>
  <c r="F43" i="8"/>
  <c r="F24" i="8"/>
  <c r="F55" i="8"/>
  <c r="F56" i="8"/>
  <c r="F57" i="8"/>
  <c r="F58" i="8"/>
  <c r="F59" i="8"/>
  <c r="F60" i="8"/>
  <c r="F61" i="8"/>
  <c r="E27" i="8"/>
  <c r="E26" i="8"/>
  <c r="E25" i="8"/>
  <c r="E24" i="8"/>
  <c r="E60" i="8"/>
  <c r="E61" i="8"/>
  <c r="E56" i="8"/>
  <c r="E57" i="8"/>
  <c r="E58" i="8"/>
  <c r="E59" i="8"/>
  <c r="E55" i="8"/>
  <c r="E80" i="8"/>
  <c r="E79" i="8"/>
  <c r="E74" i="8"/>
  <c r="E75" i="8"/>
  <c r="E76" i="8"/>
  <c r="E77" i="8"/>
  <c r="E78" i="8"/>
  <c r="E81" i="8"/>
  <c r="E110" i="8"/>
  <c r="E111" i="8"/>
  <c r="E112" i="8"/>
  <c r="E113" i="8"/>
  <c r="E130" i="8"/>
  <c r="E147" i="8"/>
  <c r="E156" i="8"/>
  <c r="E157" i="8"/>
  <c r="E158" i="8"/>
  <c r="E41" i="8"/>
  <c r="E40" i="8"/>
  <c r="E39" i="8"/>
  <c r="E38" i="8"/>
  <c r="E169" i="8"/>
  <c r="E168" i="8"/>
  <c r="E167" i="8"/>
  <c r="F169" i="8"/>
  <c r="F168" i="8"/>
  <c r="F167" i="8"/>
  <c r="F180" i="8"/>
  <c r="F179" i="8"/>
  <c r="G167" i="8"/>
  <c r="G180" i="8"/>
  <c r="G179" i="8"/>
  <c r="H24" i="8"/>
  <c r="H25" i="8"/>
  <c r="H26" i="8"/>
  <c r="H27" i="8"/>
  <c r="H42" i="8"/>
  <c r="E198" i="8"/>
  <c r="E205" i="8"/>
  <c r="E206" i="8"/>
  <c r="G27" i="8"/>
  <c r="G9" i="8"/>
  <c r="G15" i="8"/>
  <c r="G38" i="8"/>
  <c r="G39" i="8"/>
  <c r="G40" i="8"/>
  <c r="G41" i="8"/>
  <c r="G42" i="8"/>
  <c r="G43" i="8"/>
  <c r="G55" i="8"/>
  <c r="G56" i="8"/>
  <c r="G57" i="8"/>
  <c r="G58" i="8"/>
  <c r="G59" i="8"/>
  <c r="G60" i="8"/>
  <c r="G61" i="8"/>
  <c r="G74" i="8"/>
  <c r="G75" i="8"/>
  <c r="G76" i="8"/>
  <c r="G77" i="8"/>
  <c r="G78" i="8"/>
  <c r="G79" i="8"/>
  <c r="G80" i="8"/>
  <c r="G81" i="8"/>
  <c r="G110" i="8"/>
  <c r="G111" i="8"/>
  <c r="G112" i="8"/>
  <c r="G113" i="8"/>
  <c r="G133" i="8"/>
  <c r="G157" i="8"/>
  <c r="G158" i="8"/>
  <c r="G181" i="8"/>
  <c r="G198" i="8"/>
  <c r="G199" i="8"/>
  <c r="G200" i="8"/>
  <c r="G201" i="8"/>
  <c r="G202" i="8"/>
  <c r="G203" i="8"/>
  <c r="G204" i="8"/>
  <c r="G205" i="8"/>
  <c r="G206" i="8"/>
  <c r="G207" i="8"/>
  <c r="B59" i="8"/>
  <c r="N53" i="8"/>
  <c r="D61" i="8"/>
  <c r="B81" i="8"/>
  <c r="B146" i="8"/>
  <c r="C111" i="8"/>
  <c r="D128" i="8"/>
  <c r="D132" i="8"/>
  <c r="C77" i="8"/>
  <c r="F9" i="8"/>
  <c r="F15" i="8"/>
  <c r="D99" i="8"/>
  <c r="B98" i="8"/>
  <c r="C96" i="8"/>
  <c r="I26" i="8"/>
  <c r="H80" i="8"/>
  <c r="H127" i="8"/>
  <c r="H158" i="8"/>
  <c r="H205" i="8"/>
  <c r="I74" i="8"/>
  <c r="I95" i="8"/>
  <c r="I132" i="8"/>
  <c r="I147" i="8"/>
  <c r="I202" i="8"/>
  <c r="J57" i="8"/>
  <c r="J77" i="8"/>
  <c r="J127" i="8"/>
  <c r="J158" i="8"/>
  <c r="J205" i="8"/>
  <c r="B41" i="8"/>
  <c r="D74" i="8"/>
  <c r="C112" i="8"/>
  <c r="C110" i="8"/>
  <c r="B56" i="8"/>
  <c r="C133" i="8"/>
  <c r="B131" i="8"/>
  <c r="E43" i="8"/>
  <c r="C99" i="8"/>
  <c r="G97" i="8"/>
  <c r="B96" i="8"/>
  <c r="I25" i="8"/>
  <c r="H79" i="8"/>
  <c r="H126" i="8"/>
  <c r="H204" i="8"/>
  <c r="I131" i="8"/>
  <c r="I146" i="8"/>
  <c r="I201" i="8"/>
  <c r="J56" i="8"/>
  <c r="J76" i="8"/>
  <c r="J126" i="8"/>
  <c r="J204" i="8"/>
  <c r="I24" i="8"/>
  <c r="H78" i="8"/>
  <c r="I130" i="8"/>
  <c r="I200" i="8"/>
  <c r="J55" i="8"/>
  <c r="J75" i="8"/>
  <c r="H77" i="8"/>
  <c r="H147" i="8"/>
  <c r="I129" i="8"/>
  <c r="I207" i="8"/>
  <c r="I199" i="8"/>
  <c r="J74" i="8"/>
  <c r="J147" i="8"/>
  <c r="D58" i="8"/>
  <c r="D76" i="8"/>
  <c r="D158" i="8"/>
  <c r="D40" i="8"/>
  <c r="C127" i="8"/>
  <c r="C59" i="8"/>
  <c r="C58" i="8"/>
  <c r="D129" i="8"/>
  <c r="D100" i="8"/>
  <c r="F98" i="8"/>
  <c r="C95" i="8"/>
  <c r="I41" i="8"/>
  <c r="I58" i="8"/>
  <c r="H131" i="8"/>
  <c r="H146" i="8"/>
  <c r="H169" i="8"/>
  <c r="H201" i="8"/>
  <c r="I99" i="8"/>
  <c r="I111" i="8"/>
  <c r="I128" i="8"/>
  <c r="I206" i="8"/>
  <c r="I198" i="8"/>
  <c r="J61" i="8"/>
  <c r="J81" i="8"/>
  <c r="J131" i="8"/>
  <c r="J146" i="8"/>
  <c r="J169" i="8"/>
  <c r="J201" i="8"/>
  <c r="D60" i="8"/>
  <c r="D57" i="8"/>
  <c r="B78" i="8"/>
  <c r="C131" i="8"/>
  <c r="B26" i="8"/>
  <c r="C100" i="8"/>
  <c r="C97" i="8"/>
  <c r="B95" i="8"/>
  <c r="I40" i="8"/>
  <c r="H145" i="8"/>
  <c r="I127" i="8"/>
  <c r="I205" i="8"/>
  <c r="J60" i="8"/>
  <c r="J80" i="8"/>
  <c r="J145" i="8"/>
  <c r="J168" i="8"/>
  <c r="I126" i="8"/>
  <c r="I204" i="8"/>
  <c r="J59" i="8"/>
  <c r="J79" i="8"/>
  <c r="I27" i="8"/>
  <c r="I38" i="8"/>
  <c r="H81" i="8"/>
  <c r="N153" i="6"/>
  <c r="D157" i="6"/>
  <c r="D155" i="6"/>
  <c r="D156" i="6"/>
  <c r="L79" i="6"/>
  <c r="L100" i="6"/>
  <c r="L98" i="6"/>
  <c r="L95" i="6"/>
  <c r="L97" i="6"/>
  <c r="L99" i="6"/>
  <c r="L96" i="6"/>
  <c r="L94" i="6"/>
  <c r="G111" i="6"/>
  <c r="K26" i="6"/>
  <c r="B43" i="6"/>
  <c r="E98" i="6"/>
  <c r="D92" i="6"/>
  <c r="D95" i="6"/>
  <c r="E100" i="6"/>
  <c r="B75" i="6"/>
  <c r="B80" i="6"/>
  <c r="N21" i="6"/>
  <c r="B40" i="6"/>
  <c r="L39" i="6"/>
  <c r="K79" i="6"/>
  <c r="M94" i="6"/>
  <c r="N150" i="6"/>
  <c r="L72" i="6"/>
  <c r="K23" i="6"/>
  <c r="M95" i="6"/>
  <c r="M96" i="6"/>
  <c r="K74" i="6"/>
  <c r="K25" i="6"/>
  <c r="N36" i="6"/>
  <c r="J61" i="6"/>
  <c r="B79" i="6"/>
  <c r="N86" i="6"/>
  <c r="E97" i="6"/>
  <c r="M99" i="6"/>
  <c r="B112" i="6"/>
  <c r="J155" i="6"/>
  <c r="G110" i="6"/>
  <c r="G25" i="6"/>
  <c r="K75" i="6"/>
  <c r="J60" i="6"/>
  <c r="G24" i="6"/>
  <c r="B111" i="6"/>
  <c r="G112" i="6"/>
  <c r="J59" i="6"/>
  <c r="M97" i="6"/>
  <c r="B41" i="6"/>
  <c r="K76" i="6"/>
  <c r="B78" i="6"/>
  <c r="B109" i="6"/>
  <c r="K43" i="6"/>
  <c r="M111" i="6"/>
  <c r="J58" i="6"/>
  <c r="E96" i="6"/>
  <c r="M98" i="6"/>
  <c r="M123" i="6"/>
  <c r="B76" i="6"/>
  <c r="E95" i="6"/>
  <c r="K78" i="6"/>
  <c r="N107" i="6"/>
  <c r="J57" i="6"/>
  <c r="E99" i="6"/>
  <c r="B77" i="6"/>
  <c r="J24" i="8"/>
  <c r="J25" i="8"/>
  <c r="J26" i="8"/>
  <c r="G132" i="8"/>
  <c r="C26" i="8"/>
  <c r="E129" i="8"/>
  <c r="F131" i="8"/>
  <c r="H40" i="8"/>
  <c r="E203" i="8"/>
  <c r="F147" i="8"/>
  <c r="G147" i="8"/>
  <c r="G129" i="8"/>
  <c r="G26" i="8"/>
  <c r="E202" i="8"/>
  <c r="H38" i="8"/>
  <c r="G168" i="8"/>
  <c r="E144" i="8"/>
  <c r="E126" i="8"/>
  <c r="F40" i="8"/>
  <c r="F146" i="8"/>
  <c r="F128" i="8"/>
  <c r="F206" i="8"/>
  <c r="D77" i="8"/>
  <c r="B43" i="8"/>
  <c r="C78" i="8"/>
  <c r="C57" i="8"/>
  <c r="B60" i="8"/>
  <c r="C75" i="8"/>
  <c r="B25" i="8"/>
  <c r="B157" i="8"/>
  <c r="C128" i="8"/>
  <c r="G99" i="8"/>
  <c r="G95" i="8"/>
  <c r="I56" i="8"/>
  <c r="H76" i="8"/>
  <c r="H41" i="8"/>
  <c r="B27" i="8"/>
  <c r="G146" i="8"/>
  <c r="G25" i="8"/>
  <c r="E201" i="8"/>
  <c r="E181" i="8"/>
  <c r="E133" i="8"/>
  <c r="F27" i="8"/>
  <c r="F39" i="8"/>
  <c r="F145" i="8"/>
  <c r="F127" i="8"/>
  <c r="F205" i="8"/>
  <c r="B133" i="8"/>
  <c r="B145" i="8"/>
  <c r="B58" i="8"/>
  <c r="C79" i="8"/>
  <c r="C56" i="8"/>
  <c r="C81" i="8"/>
  <c r="D133" i="8"/>
  <c r="B101" i="8"/>
  <c r="F99" i="8"/>
  <c r="F95" i="8"/>
  <c r="I43" i="8"/>
  <c r="I61" i="8"/>
  <c r="I55" i="8"/>
  <c r="H75" i="8"/>
  <c r="E204" i="8"/>
  <c r="F200" i="8"/>
  <c r="H39" i="8"/>
  <c r="E145" i="8"/>
  <c r="F198" i="8"/>
  <c r="C27" i="8"/>
  <c r="G145" i="8"/>
  <c r="G127" i="8"/>
  <c r="E200" i="8"/>
  <c r="E179" i="8"/>
  <c r="E132" i="8"/>
  <c r="F26" i="8"/>
  <c r="F126" i="8"/>
  <c r="F204" i="8"/>
  <c r="B128" i="8"/>
  <c r="B38" i="8"/>
  <c r="B127" i="8"/>
  <c r="D131" i="8"/>
  <c r="C76" i="8"/>
  <c r="G100" i="8"/>
  <c r="H61" i="8"/>
  <c r="F201" i="8"/>
  <c r="G131" i="8"/>
  <c r="E128" i="8"/>
  <c r="F130" i="8"/>
  <c r="C24" i="8"/>
  <c r="B61" i="8"/>
  <c r="G130" i="8"/>
  <c r="E127" i="8"/>
  <c r="F129" i="8"/>
  <c r="F199" i="8"/>
  <c r="D112" i="8"/>
  <c r="D130" i="8"/>
  <c r="G128" i="8"/>
  <c r="E207" i="8"/>
  <c r="F203" i="8"/>
  <c r="D111" i="8"/>
  <c r="B55" i="8"/>
  <c r="D127" i="8"/>
  <c r="F100" i="8"/>
  <c r="H58" i="8"/>
  <c r="H57" i="8"/>
  <c r="H60" i="8"/>
  <c r="H56" i="8"/>
  <c r="N55" i="8"/>
  <c r="N56" i="8"/>
  <c r="N57" i="8"/>
  <c r="N59" i="8"/>
  <c r="N60" i="8"/>
  <c r="N61" i="8"/>
  <c r="N58" i="8"/>
  <c r="M125" i="6"/>
  <c r="M130" i="6"/>
  <c r="N123" i="6"/>
  <c r="M129" i="6"/>
  <c r="M131" i="6"/>
  <c r="M127" i="6"/>
  <c r="M132" i="6"/>
  <c r="M128" i="6"/>
  <c r="M126" i="6"/>
  <c r="C78" i="6"/>
  <c r="L81" i="6"/>
  <c r="L77" i="6"/>
  <c r="C76" i="6"/>
  <c r="C81" i="6"/>
  <c r="C74" i="6"/>
  <c r="L75" i="6"/>
  <c r="L74" i="6"/>
  <c r="C77" i="6"/>
  <c r="L78" i="6"/>
  <c r="C80" i="6"/>
  <c r="C75" i="6"/>
  <c r="L76" i="6"/>
  <c r="N72" i="6"/>
  <c r="C79" i="6"/>
  <c r="D97" i="6"/>
  <c r="D96" i="6"/>
  <c r="D94" i="6"/>
  <c r="N92" i="6"/>
  <c r="D100" i="6"/>
  <c r="D98" i="6"/>
  <c r="D99" i="6"/>
  <c r="T13" i="10"/>
  <c r="S13" i="10"/>
  <c r="P4" i="10"/>
  <c r="P3" i="10"/>
  <c r="P8" i="10"/>
  <c r="P7" i="10"/>
  <c r="L6" i="10"/>
  <c r="O13" i="10"/>
  <c r="O14" i="10"/>
  <c r="S14" i="10"/>
  <c r="P12" i="10"/>
  <c r="P13" i="10"/>
  <c r="B41" i="14"/>
  <c r="B38" i="14"/>
  <c r="B144" i="14"/>
  <c r="B145" i="14"/>
  <c r="B143" i="14"/>
  <c r="B155" i="14"/>
  <c r="B156" i="14"/>
  <c r="B154" i="14"/>
  <c r="B178" i="14"/>
  <c r="B179" i="14"/>
  <c r="B177" i="14"/>
  <c r="B166" i="14"/>
  <c r="B165" i="14"/>
  <c r="B197" i="14"/>
  <c r="B198" i="14"/>
  <c r="B199" i="14"/>
  <c r="B200" i="14"/>
  <c r="B201" i="14"/>
  <c r="B202" i="14"/>
  <c r="B203" i="14"/>
  <c r="B204" i="14"/>
  <c r="B205" i="14"/>
  <c r="B196" i="14"/>
  <c r="B213" i="14"/>
  <c r="B212" i="14"/>
  <c r="C15" i="14"/>
  <c r="C24" i="14"/>
  <c r="C25" i="14"/>
  <c r="C26" i="14"/>
  <c r="C27" i="14"/>
  <c r="C38" i="14"/>
  <c r="C39" i="14"/>
  <c r="C40" i="14"/>
  <c r="C41" i="14"/>
  <c r="C42" i="14"/>
  <c r="C55" i="14"/>
  <c r="C56" i="14"/>
  <c r="C57" i="14"/>
  <c r="C58" i="14"/>
  <c r="C59" i="14"/>
  <c r="C74" i="14"/>
  <c r="C75" i="14"/>
  <c r="C76" i="14"/>
  <c r="C77" i="14"/>
  <c r="C78" i="14"/>
  <c r="C79" i="14"/>
  <c r="C80" i="14"/>
  <c r="C95" i="14"/>
  <c r="C96" i="14"/>
  <c r="C97" i="14"/>
  <c r="C98" i="14"/>
  <c r="C99" i="14"/>
  <c r="C100" i="14"/>
  <c r="C101" i="14"/>
  <c r="C110" i="14"/>
  <c r="C111" i="14"/>
  <c r="C112" i="14"/>
  <c r="C113" i="14"/>
  <c r="C126" i="14"/>
  <c r="C127" i="14"/>
  <c r="C128" i="14"/>
  <c r="C129" i="14"/>
  <c r="C130" i="14"/>
  <c r="C131" i="14"/>
  <c r="C132" i="14"/>
  <c r="C133" i="14"/>
  <c r="C143" i="14"/>
  <c r="C144" i="14"/>
  <c r="C145" i="14"/>
  <c r="C154" i="14"/>
  <c r="C155" i="14"/>
  <c r="C156" i="14"/>
  <c r="C165" i="14"/>
  <c r="C166" i="14"/>
  <c r="C177" i="14"/>
  <c r="C178" i="14"/>
  <c r="C179" i="14"/>
  <c r="C212" i="14"/>
  <c r="C213" i="14"/>
  <c r="C196" i="14"/>
  <c r="C197" i="14"/>
  <c r="C198" i="14"/>
  <c r="C199" i="14"/>
  <c r="C200" i="14"/>
  <c r="C201" i="14"/>
  <c r="C202" i="14"/>
  <c r="C203" i="14"/>
  <c r="C204" i="14"/>
  <c r="C205" i="14"/>
  <c r="D95" i="14"/>
  <c r="D96" i="14"/>
  <c r="D97" i="14"/>
  <c r="D98" i="14"/>
  <c r="D99" i="14"/>
  <c r="D100" i="14"/>
  <c r="D101" i="14"/>
  <c r="D110" i="14"/>
  <c r="D111" i="14"/>
  <c r="D112" i="14"/>
  <c r="D113" i="14"/>
  <c r="D126" i="14"/>
  <c r="D127" i="14"/>
  <c r="D128" i="14"/>
  <c r="D129" i="14"/>
  <c r="D130" i="14"/>
  <c r="D131" i="14"/>
  <c r="D132" i="14"/>
  <c r="D133" i="14"/>
  <c r="D212" i="14"/>
  <c r="D213" i="14"/>
  <c r="D196" i="14"/>
  <c r="D197" i="14"/>
  <c r="D198" i="14"/>
  <c r="D199" i="14"/>
  <c r="D200" i="14"/>
  <c r="D201" i="14"/>
  <c r="D202" i="14"/>
  <c r="D203" i="14"/>
  <c r="D204" i="14"/>
  <c r="D205" i="14"/>
  <c r="M177" i="14"/>
  <c r="M178" i="14"/>
  <c r="M179" i="14"/>
  <c r="K196" i="14"/>
  <c r="K197" i="14"/>
  <c r="K198" i="14"/>
  <c r="K199" i="14"/>
  <c r="K200" i="14"/>
  <c r="K201" i="14"/>
  <c r="K202" i="14"/>
  <c r="K203" i="14"/>
  <c r="K204" i="14"/>
  <c r="K205" i="14"/>
  <c r="K212" i="14"/>
  <c r="K213" i="14"/>
  <c r="N22" i="14"/>
  <c r="B9" i="14"/>
  <c r="E9" i="14"/>
  <c r="E15" i="14"/>
  <c r="E24" i="14"/>
  <c r="E25" i="14"/>
  <c r="E26" i="14"/>
  <c r="E27" i="14"/>
  <c r="E38" i="14"/>
  <c r="E39" i="14"/>
  <c r="E40" i="14"/>
  <c r="E41" i="14"/>
  <c r="E42" i="14"/>
  <c r="E55" i="14"/>
  <c r="E56" i="14"/>
  <c r="E57" i="14"/>
  <c r="E58" i="14"/>
  <c r="E59" i="14"/>
  <c r="E74" i="14"/>
  <c r="E75" i="14"/>
  <c r="E76" i="14"/>
  <c r="E77" i="14"/>
  <c r="E78" i="14"/>
  <c r="E79" i="14"/>
  <c r="E80" i="14"/>
  <c r="E95" i="14"/>
  <c r="E96" i="14"/>
  <c r="E97" i="14"/>
  <c r="E98" i="14"/>
  <c r="E99" i="14"/>
  <c r="E100" i="14"/>
  <c r="E101" i="14"/>
  <c r="E110" i="14"/>
  <c r="E111" i="14"/>
  <c r="E112" i="14"/>
  <c r="E113" i="14"/>
  <c r="E126" i="14"/>
  <c r="E127" i="14"/>
  <c r="E128" i="14"/>
  <c r="E129" i="14"/>
  <c r="E130" i="14"/>
  <c r="E131" i="14"/>
  <c r="E132" i="14"/>
  <c r="E133" i="14"/>
  <c r="E143" i="14"/>
  <c r="E144" i="14"/>
  <c r="E145" i="14"/>
  <c r="E154" i="14"/>
  <c r="E155" i="14"/>
  <c r="E156" i="14"/>
  <c r="E177" i="14"/>
  <c r="E178" i="14"/>
  <c r="E179" i="14"/>
  <c r="E165" i="14"/>
  <c r="E166" i="14"/>
  <c r="E212" i="14"/>
  <c r="E213" i="14"/>
  <c r="E196" i="14"/>
  <c r="E197" i="14"/>
  <c r="E198" i="14"/>
  <c r="E199" i="14"/>
  <c r="E200" i="14"/>
  <c r="E201" i="14"/>
  <c r="E202" i="14"/>
  <c r="E203" i="14"/>
  <c r="E204" i="14"/>
  <c r="E205" i="14"/>
  <c r="F9" i="14"/>
  <c r="F15" i="14"/>
  <c r="F24" i="14"/>
  <c r="F25" i="14"/>
  <c r="F26" i="14"/>
  <c r="F27" i="14"/>
  <c r="F38" i="14"/>
  <c r="F39" i="14"/>
  <c r="F40" i="14"/>
  <c r="F41" i="14"/>
  <c r="F42" i="14"/>
  <c r="F55" i="14"/>
  <c r="F56" i="14"/>
  <c r="F57" i="14"/>
  <c r="F58" i="14"/>
  <c r="F59" i="14"/>
  <c r="F74" i="14"/>
  <c r="F75" i="14"/>
  <c r="F76" i="14"/>
  <c r="F77" i="14"/>
  <c r="F78" i="14"/>
  <c r="F79" i="14"/>
  <c r="F80" i="14"/>
  <c r="F95" i="14"/>
  <c r="F96" i="14"/>
  <c r="F97" i="14"/>
  <c r="F98" i="14"/>
  <c r="F99" i="14"/>
  <c r="F100" i="14"/>
  <c r="F101" i="14"/>
  <c r="F110" i="14"/>
  <c r="F111" i="14"/>
  <c r="F112" i="14"/>
  <c r="F113" i="14"/>
  <c r="F126" i="14"/>
  <c r="F127" i="14"/>
  <c r="F128" i="14"/>
  <c r="F129" i="14"/>
  <c r="F130" i="14"/>
  <c r="F131" i="14"/>
  <c r="F132" i="14"/>
  <c r="F133" i="14"/>
  <c r="F143" i="14"/>
  <c r="F144" i="14"/>
  <c r="F145" i="14"/>
  <c r="F154" i="14"/>
  <c r="F155" i="14"/>
  <c r="F156" i="14"/>
  <c r="F177" i="14"/>
  <c r="F178" i="14"/>
  <c r="F179" i="14"/>
  <c r="F165" i="14"/>
  <c r="F166" i="14"/>
  <c r="F212" i="14"/>
  <c r="F213" i="14"/>
  <c r="F196" i="14"/>
  <c r="F197" i="14"/>
  <c r="F198" i="14"/>
  <c r="F199" i="14"/>
  <c r="F200" i="14"/>
  <c r="F201" i="14"/>
  <c r="F202" i="14"/>
  <c r="F203" i="14"/>
  <c r="F204" i="14"/>
  <c r="F205" i="14"/>
  <c r="G9" i="14"/>
  <c r="G15" i="14"/>
  <c r="G24" i="14"/>
  <c r="G25" i="14"/>
  <c r="G26" i="14"/>
  <c r="G27" i="14"/>
  <c r="G38" i="14"/>
  <c r="G39" i="14"/>
  <c r="G40" i="14"/>
  <c r="G41" i="14"/>
  <c r="G42" i="14"/>
  <c r="G55" i="14"/>
  <c r="G56" i="14"/>
  <c r="G57" i="14"/>
  <c r="G58" i="14"/>
  <c r="G59" i="14"/>
  <c r="G74" i="14"/>
  <c r="G75" i="14"/>
  <c r="G76" i="14"/>
  <c r="G77" i="14"/>
  <c r="G78" i="14"/>
  <c r="G79" i="14"/>
  <c r="G80" i="14"/>
  <c r="G95" i="14"/>
  <c r="G96" i="14"/>
  <c r="G97" i="14"/>
  <c r="G98" i="14"/>
  <c r="G99" i="14"/>
  <c r="G100" i="14"/>
  <c r="G101" i="14"/>
  <c r="G110" i="14"/>
  <c r="G111" i="14"/>
  <c r="G112" i="14"/>
  <c r="G113" i="14"/>
  <c r="G126" i="14"/>
  <c r="G127" i="14"/>
  <c r="G128" i="14"/>
  <c r="G129" i="14"/>
  <c r="G130" i="14"/>
  <c r="G131" i="14"/>
  <c r="G132" i="14"/>
  <c r="G133" i="14"/>
  <c r="G143" i="14"/>
  <c r="G144" i="14"/>
  <c r="G145" i="14"/>
  <c r="G154" i="14"/>
  <c r="G155" i="14"/>
  <c r="G156" i="14"/>
  <c r="G165" i="14"/>
  <c r="G166" i="14"/>
  <c r="G177" i="14"/>
  <c r="G178" i="14"/>
  <c r="G179" i="14"/>
  <c r="G212" i="14"/>
  <c r="G213" i="14"/>
  <c r="G196" i="14"/>
  <c r="G197" i="14"/>
  <c r="G198" i="14"/>
  <c r="G199" i="14"/>
  <c r="G200" i="14"/>
  <c r="G201" i="14"/>
  <c r="G202" i="14"/>
  <c r="G203" i="14"/>
  <c r="G204" i="14"/>
  <c r="G205" i="14"/>
  <c r="H9" i="14"/>
  <c r="H15" i="14"/>
  <c r="H24" i="14"/>
  <c r="H25" i="14"/>
  <c r="H26" i="14"/>
  <c r="H27" i="14"/>
  <c r="H38" i="14"/>
  <c r="H39" i="14"/>
  <c r="H40" i="14"/>
  <c r="H41" i="14"/>
  <c r="H42" i="14"/>
  <c r="H55" i="14"/>
  <c r="H56" i="14"/>
  <c r="H57" i="14"/>
  <c r="H58" i="14"/>
  <c r="H59" i="14"/>
  <c r="H74" i="14"/>
  <c r="H75" i="14"/>
  <c r="H76" i="14"/>
  <c r="H77" i="14"/>
  <c r="H78" i="14"/>
  <c r="H79" i="14"/>
  <c r="H80" i="14"/>
  <c r="H95" i="14"/>
  <c r="H96" i="14"/>
  <c r="H97" i="14"/>
  <c r="H98" i="14"/>
  <c r="H99" i="14"/>
  <c r="H100" i="14"/>
  <c r="H101" i="14"/>
  <c r="H110" i="14"/>
  <c r="H111" i="14"/>
  <c r="H112" i="14"/>
  <c r="H113" i="14"/>
  <c r="H126" i="14"/>
  <c r="H127" i="14"/>
  <c r="H128" i="14"/>
  <c r="H129" i="14"/>
  <c r="H130" i="14"/>
  <c r="H131" i="14"/>
  <c r="H132" i="14"/>
  <c r="H133" i="14"/>
  <c r="H143" i="14"/>
  <c r="H144" i="14"/>
  <c r="H145" i="14"/>
  <c r="H154" i="14"/>
  <c r="H155" i="14"/>
  <c r="H156" i="14"/>
  <c r="H165" i="14"/>
  <c r="H166" i="14"/>
  <c r="H177" i="14"/>
  <c r="H178" i="14"/>
  <c r="H179" i="14"/>
  <c r="H212" i="14"/>
  <c r="H213" i="14"/>
  <c r="H196" i="14"/>
  <c r="H197" i="14"/>
  <c r="H198" i="14"/>
  <c r="H199" i="14"/>
  <c r="H200" i="14"/>
  <c r="H201" i="14"/>
  <c r="H202" i="14"/>
  <c r="H203" i="14"/>
  <c r="H204" i="14"/>
  <c r="H205" i="14"/>
  <c r="I38" i="14"/>
  <c r="I39" i="14"/>
  <c r="I40" i="14"/>
  <c r="I41" i="14"/>
  <c r="I75" i="14"/>
  <c r="I76" i="14"/>
  <c r="I78" i="14"/>
  <c r="I79" i="14"/>
  <c r="I80" i="14"/>
  <c r="I95" i="14"/>
  <c r="I96" i="14"/>
  <c r="I97" i="14"/>
  <c r="I98" i="14"/>
  <c r="I99" i="14"/>
  <c r="I100" i="14"/>
  <c r="J24" i="14"/>
  <c r="J25" i="14"/>
  <c r="J26" i="14"/>
  <c r="J27" i="14"/>
  <c r="J9" i="14"/>
  <c r="J15" i="14"/>
  <c r="J38" i="14"/>
  <c r="J39" i="14"/>
  <c r="J40" i="14"/>
  <c r="J41" i="14"/>
  <c r="J42" i="14"/>
  <c r="J55" i="14"/>
  <c r="J56" i="14"/>
  <c r="J57" i="14"/>
  <c r="J58" i="14"/>
  <c r="J59" i="14"/>
  <c r="J95" i="14"/>
  <c r="J96" i="14"/>
  <c r="J97" i="14"/>
  <c r="J98" i="14"/>
  <c r="J99" i="14"/>
  <c r="J100" i="14"/>
  <c r="J101" i="14"/>
  <c r="J110" i="14"/>
  <c r="J111" i="14"/>
  <c r="J112" i="14"/>
  <c r="J113" i="14"/>
  <c r="J126" i="14"/>
  <c r="J127" i="14"/>
  <c r="J128" i="14"/>
  <c r="J129" i="14"/>
  <c r="J130" i="14"/>
  <c r="J131" i="14"/>
  <c r="J132" i="14"/>
  <c r="J133" i="14"/>
  <c r="J143" i="14"/>
  <c r="J144" i="14"/>
  <c r="J145" i="14"/>
  <c r="J154" i="14"/>
  <c r="J155" i="14"/>
  <c r="J156" i="14"/>
  <c r="J177" i="14"/>
  <c r="J178" i="14"/>
  <c r="J179" i="14"/>
  <c r="J165" i="14"/>
  <c r="J166" i="14"/>
  <c r="J212" i="14"/>
  <c r="J213" i="14"/>
  <c r="J196" i="14"/>
  <c r="J197" i="14"/>
  <c r="J198" i="14"/>
  <c r="J199" i="14"/>
  <c r="J200" i="14"/>
  <c r="J201" i="14"/>
  <c r="J202" i="14"/>
  <c r="J203" i="14"/>
  <c r="J204" i="14"/>
  <c r="J205" i="14"/>
  <c r="K74" i="14"/>
  <c r="K75" i="14"/>
  <c r="K76" i="14"/>
  <c r="K77" i="14"/>
  <c r="K78" i="14"/>
  <c r="K79" i="14"/>
  <c r="K80" i="14"/>
  <c r="K95" i="14"/>
  <c r="K96" i="14"/>
  <c r="K97" i="14"/>
  <c r="K98" i="14"/>
  <c r="K99" i="14"/>
  <c r="K100" i="14"/>
  <c r="K101" i="14"/>
  <c r="K126" i="14"/>
  <c r="K127" i="14"/>
  <c r="K128" i="14"/>
  <c r="K129" i="14"/>
  <c r="K130" i="14"/>
  <c r="K131" i="14"/>
  <c r="K132" i="14"/>
  <c r="K133" i="14"/>
  <c r="K143" i="14"/>
  <c r="K144" i="14"/>
  <c r="K145" i="14"/>
  <c r="K154" i="14"/>
  <c r="K155" i="14"/>
  <c r="K156" i="14"/>
  <c r="K165" i="14"/>
  <c r="K166" i="14"/>
  <c r="K177" i="14"/>
  <c r="K178" i="14"/>
  <c r="K179" i="14"/>
  <c r="K110" i="14"/>
  <c r="K111" i="14"/>
  <c r="K112" i="14"/>
  <c r="K113" i="14"/>
  <c r="B15" i="14"/>
  <c r="N24" i="14" l="1"/>
  <c r="N55" i="14"/>
  <c r="N59" i="14"/>
  <c r="N58" i="14"/>
  <c r="N57" i="14"/>
  <c r="N56" i="14"/>
  <c r="N80" i="14"/>
  <c r="N79" i="14"/>
  <c r="N78" i="14"/>
  <c r="N77" i="14"/>
  <c r="N76" i="14"/>
  <c r="N75" i="14"/>
  <c r="N38" i="14"/>
  <c r="N42" i="14"/>
  <c r="N41" i="14"/>
  <c r="N40" i="14"/>
  <c r="N39" i="14"/>
  <c r="N74" i="14"/>
  <c r="N165" i="14"/>
  <c r="N169" i="14"/>
  <c r="N166" i="14"/>
  <c r="N27" i="14"/>
  <c r="N26" i="14"/>
  <c r="N25" i="14"/>
  <c r="N112" i="14"/>
  <c r="N95" i="14"/>
  <c r="N96" i="14"/>
  <c r="N97" i="14"/>
  <c r="N98" i="14"/>
  <c r="N99" i="14"/>
  <c r="N100" i="14"/>
  <c r="N101" i="14"/>
  <c r="N110" i="14"/>
  <c r="N111" i="14"/>
  <c r="N113" i="14"/>
  <c r="N126" i="14"/>
  <c r="N127" i="14"/>
  <c r="N128" i="14"/>
  <c r="N129" i="14"/>
  <c r="N130" i="14"/>
  <c r="N131" i="14"/>
  <c r="N132" i="14"/>
  <c r="N133" i="14"/>
  <c r="N143" i="14"/>
  <c r="N144" i="14"/>
  <c r="N145" i="14"/>
  <c r="N154" i="14"/>
  <c r="N155" i="14"/>
  <c r="N156" i="14"/>
  <c r="N181" i="14"/>
  <c r="N177" i="14"/>
  <c r="N178" i="14"/>
  <c r="N179" i="14"/>
  <c r="N212" i="14"/>
  <c r="N213" i="14"/>
  <c r="N198" i="14"/>
  <c r="N201" i="14"/>
  <c r="N202" i="14"/>
  <c r="N203" i="14"/>
  <c r="N204" i="14"/>
  <c r="N205" i="14"/>
  <c r="N199" i="14"/>
  <c r="N200" i="14"/>
  <c r="N196" i="14"/>
  <c r="N197" i="14"/>
  <c r="L24" i="14"/>
  <c r="L25" i="14"/>
  <c r="L26" i="14"/>
  <c r="L27" i="14"/>
  <c r="L9" i="14"/>
  <c r="L38" i="14"/>
  <c r="L39" i="14"/>
  <c r="L40" i="14"/>
  <c r="L41" i="14"/>
  <c r="L42" i="14"/>
  <c r="M55" i="14"/>
  <c r="M56" i="14"/>
  <c r="M57" i="14"/>
  <c r="M58" i="14"/>
  <c r="M59" i="14"/>
  <c r="L55" i="14"/>
  <c r="L56" i="14"/>
  <c r="L57" i="14"/>
  <c r="L58" i="14"/>
  <c r="L59" i="14"/>
  <c r="M38" i="14"/>
  <c r="M39" i="14"/>
  <c r="M40" i="14"/>
  <c r="M41" i="14"/>
  <c r="M42" i="14"/>
  <c r="M74" i="14"/>
  <c r="M75" i="14"/>
  <c r="M76" i="14"/>
  <c r="M77" i="14"/>
  <c r="M78" i="14"/>
  <c r="M79" i="14"/>
  <c r="M80" i="14"/>
  <c r="L74" i="14"/>
  <c r="L75" i="14"/>
  <c r="L76" i="14"/>
  <c r="L77" i="14"/>
  <c r="L78" i="14"/>
  <c r="L79" i="14"/>
  <c r="L80" i="14"/>
  <c r="L95" i="14"/>
  <c r="L96" i="14"/>
  <c r="L97" i="14"/>
  <c r="L98" i="14"/>
  <c r="L99" i="14"/>
  <c r="L100" i="14"/>
  <c r="L101" i="14"/>
  <c r="M95" i="14"/>
  <c r="M96" i="14"/>
  <c r="M97" i="14"/>
  <c r="M98" i="14"/>
  <c r="M99" i="14"/>
  <c r="M100" i="14"/>
  <c r="M101" i="14"/>
  <c r="L110" i="14"/>
  <c r="L111" i="14"/>
  <c r="L112" i="14"/>
  <c r="L113" i="14"/>
  <c r="L126" i="14"/>
  <c r="L127" i="14"/>
  <c r="L128" i="14"/>
  <c r="L129" i="14"/>
  <c r="L130" i="14"/>
  <c r="L131" i="14"/>
  <c r="L132" i="14"/>
  <c r="L133" i="14"/>
  <c r="L143" i="14"/>
  <c r="L144" i="14"/>
  <c r="L145" i="14"/>
  <c r="M143" i="14"/>
  <c r="M144" i="14"/>
  <c r="M145" i="14"/>
  <c r="L154" i="14"/>
  <c r="L155" i="14"/>
  <c r="L156" i="14"/>
  <c r="M154" i="14"/>
  <c r="M155" i="14"/>
  <c r="M156" i="14"/>
  <c r="L165" i="14"/>
  <c r="L166" i="14"/>
  <c r="M165" i="14"/>
  <c r="M166" i="14"/>
  <c r="L177" i="14"/>
  <c r="L178" i="14"/>
  <c r="L179" i="14"/>
  <c r="L212" i="14"/>
  <c r="L213" i="14"/>
  <c r="M196" i="14"/>
  <c r="M197" i="14"/>
  <c r="M198" i="14"/>
  <c r="M199" i="14"/>
  <c r="M200" i="14"/>
  <c r="M201" i="14"/>
  <c r="M202" i="14"/>
  <c r="M203" i="14"/>
  <c r="M204" i="14"/>
  <c r="M205" i="14"/>
  <c r="L196" i="14"/>
  <c r="L197" i="14"/>
  <c r="L198" i="14"/>
  <c r="L199" i="14"/>
  <c r="L200" i="14"/>
  <c r="L201" i="14"/>
  <c r="L202" i="14"/>
  <c r="L203" i="14"/>
  <c r="L204" i="14"/>
  <c r="L205" i="14"/>
  <c r="M24" i="14"/>
  <c r="M25" i="14"/>
  <c r="M26" i="14"/>
  <c r="M27" i="14"/>
  <c r="M9" i="14"/>
  <c r="M15" i="14" s="1"/>
  <c r="M110" i="14"/>
  <c r="M111" i="14"/>
  <c r="M112" i="14"/>
  <c r="M113" i="14"/>
  <c r="M126" i="14"/>
  <c r="M127" i="14"/>
  <c r="M128" i="14"/>
  <c r="M129" i="14"/>
  <c r="M130" i="14"/>
  <c r="M131" i="14"/>
  <c r="M132" i="14"/>
  <c r="M133" i="14"/>
  <c r="M212" i="14"/>
  <c r="M213" i="14"/>
  <c r="K13" i="9"/>
  <c r="K10" i="9"/>
  <c r="K38" i="9"/>
  <c r="K39" i="9"/>
  <c r="K40" i="9"/>
  <c r="K41" i="9"/>
  <c r="K42" i="9"/>
  <c r="K43" i="9"/>
  <c r="K53" i="9"/>
  <c r="K92" i="9"/>
  <c r="K107" i="9"/>
  <c r="K125" i="9"/>
  <c r="K126" i="9"/>
  <c r="K127" i="9"/>
  <c r="K128" i="9"/>
  <c r="K129" i="9"/>
  <c r="K130" i="9"/>
  <c r="K131" i="9"/>
  <c r="K132" i="9"/>
  <c r="K153" i="9"/>
  <c r="K23" i="9"/>
  <c r="K26" i="9"/>
  <c r="K25" i="9"/>
  <c r="K24" i="9"/>
  <c r="K72" i="9"/>
  <c r="K74" i="9" s="1"/>
  <c r="K81" i="9"/>
  <c r="K80" i="9"/>
  <c r="K79" i="9"/>
  <c r="K78" i="9"/>
  <c r="K77" i="9"/>
  <c r="K76" i="9"/>
  <c r="K75" i="9"/>
  <c r="I11" i="19"/>
  <c r="N22" i="8"/>
  <c r="N111" i="8"/>
  <c r="N112" i="8"/>
  <c r="N113" i="8"/>
  <c r="N110" i="8"/>
  <c r="N127" i="8"/>
  <c r="N128" i="8"/>
  <c r="N129" i="8"/>
  <c r="N130" i="8"/>
  <c r="N131" i="8"/>
  <c r="N132" i="8"/>
  <c r="N133" i="8"/>
  <c r="N126" i="8"/>
  <c r="N147" i="8"/>
  <c r="N145" i="8"/>
  <c r="N144" i="8"/>
  <c r="N158" i="8"/>
  <c r="N157" i="8"/>
  <c r="N156" i="8"/>
  <c r="N196" i="8"/>
  <c r="N93" i="8"/>
  <c r="N101" i="8" s="1"/>
  <c r="I57" i="8"/>
  <c r="I59" i="8"/>
  <c r="H95" i="8"/>
  <c r="H96" i="8"/>
  <c r="H97" i="8"/>
  <c r="H99" i="8"/>
  <c r="H100" i="8"/>
  <c r="H101" i="8"/>
  <c r="H111" i="8"/>
  <c r="H112" i="8"/>
  <c r="H113" i="8"/>
  <c r="H128" i="8"/>
  <c r="H129" i="8"/>
  <c r="H132" i="8"/>
  <c r="H133" i="8"/>
  <c r="H179" i="8"/>
  <c r="H180" i="8"/>
  <c r="H181" i="8"/>
  <c r="H198" i="8"/>
  <c r="H199" i="8"/>
  <c r="H202" i="8"/>
  <c r="H203" i="8"/>
  <c r="H206" i="8"/>
  <c r="H207" i="8"/>
  <c r="I75" i="8"/>
  <c r="I76" i="8"/>
  <c r="I77" i="8"/>
  <c r="I79" i="8"/>
  <c r="I80" i="8"/>
  <c r="I81" i="8"/>
  <c r="I96" i="8"/>
  <c r="I97" i="8"/>
  <c r="I100" i="8"/>
  <c r="I101" i="8"/>
  <c r="I112" i="8"/>
  <c r="I113" i="8"/>
  <c r="I156" i="8"/>
  <c r="I157" i="8"/>
  <c r="I158" i="8"/>
  <c r="I168" i="8"/>
  <c r="I169" i="8"/>
  <c r="I180" i="8"/>
  <c r="I181" i="8"/>
  <c r="J38" i="8"/>
  <c r="J39" i="8"/>
  <c r="J41" i="8"/>
  <c r="J42" i="8"/>
  <c r="J43" i="8"/>
  <c r="J95" i="8"/>
  <c r="J96" i="8"/>
  <c r="J97" i="8"/>
  <c r="J98" i="8"/>
  <c r="J99" i="8"/>
  <c r="J100" i="8"/>
  <c r="J101" i="8"/>
  <c r="J110" i="8"/>
  <c r="J111" i="8"/>
  <c r="J112" i="8"/>
  <c r="J113" i="8"/>
  <c r="J128" i="8"/>
  <c r="J129" i="8"/>
  <c r="J132" i="8"/>
  <c r="J133" i="8"/>
  <c r="J179" i="8"/>
  <c r="J180" i="8"/>
  <c r="J181" i="8"/>
  <c r="J198" i="8"/>
  <c r="J199" i="8"/>
  <c r="J202" i="8"/>
  <c r="J203" i="8"/>
  <c r="J206" i="8"/>
  <c r="J207" i="8"/>
  <c r="K15" i="8"/>
  <c r="K24" i="8"/>
  <c r="K25" i="8"/>
  <c r="K26" i="8"/>
  <c r="K27" i="8"/>
  <c r="K38" i="8"/>
  <c r="K39" i="8"/>
  <c r="K40" i="8"/>
  <c r="K41" i="8"/>
  <c r="K42" i="8"/>
  <c r="K43" i="8"/>
  <c r="K55" i="8"/>
  <c r="K56" i="8"/>
  <c r="K57" i="8"/>
  <c r="K58" i="8"/>
  <c r="K59" i="8"/>
  <c r="K60" i="8"/>
  <c r="K61" i="8"/>
  <c r="K80" i="8"/>
  <c r="K74" i="8"/>
  <c r="K75" i="8"/>
  <c r="K76" i="8"/>
  <c r="K77" i="8"/>
  <c r="K78" i="8"/>
  <c r="K79" i="8"/>
  <c r="K95" i="8"/>
  <c r="K96" i="8"/>
  <c r="K97" i="8"/>
  <c r="K98" i="8"/>
  <c r="K99" i="8"/>
  <c r="K100" i="8"/>
  <c r="K101" i="8"/>
  <c r="K110" i="8"/>
  <c r="K111" i="8"/>
  <c r="K112" i="8"/>
  <c r="K113" i="8"/>
  <c r="K126" i="8"/>
  <c r="K127" i="8"/>
  <c r="K128" i="8"/>
  <c r="K129" i="8"/>
  <c r="K130" i="8"/>
  <c r="K131" i="8"/>
  <c r="K132" i="8"/>
  <c r="K133" i="8"/>
  <c r="K144" i="8"/>
  <c r="K145" i="8"/>
  <c r="K146" i="8"/>
  <c r="K147" i="8"/>
  <c r="K156" i="8"/>
  <c r="K157" i="8"/>
  <c r="K158" i="8"/>
  <c r="K167" i="8"/>
  <c r="K168" i="8"/>
  <c r="K169" i="8"/>
  <c r="K179" i="8"/>
  <c r="K180" i="8"/>
  <c r="K181" i="8"/>
  <c r="K198" i="8"/>
  <c r="K199" i="8"/>
  <c r="K200" i="8"/>
  <c r="K201" i="8"/>
  <c r="K202" i="8"/>
  <c r="K203" i="8"/>
  <c r="K204" i="8"/>
  <c r="K205" i="8"/>
  <c r="K206" i="8"/>
  <c r="K207" i="8"/>
  <c r="L24" i="8"/>
  <c r="L25" i="8"/>
  <c r="L26" i="8"/>
  <c r="L27" i="8"/>
  <c r="L9" i="8"/>
  <c r="L38" i="8"/>
  <c r="L39" i="8"/>
  <c r="L40" i="8"/>
  <c r="L41" i="8"/>
  <c r="L42" i="8"/>
  <c r="L43" i="8"/>
  <c r="L55" i="8"/>
  <c r="L56" i="8"/>
  <c r="L57" i="8"/>
  <c r="L58" i="8"/>
  <c r="L59" i="8"/>
  <c r="L60" i="8"/>
  <c r="L61" i="8"/>
  <c r="L80" i="8"/>
  <c r="L74" i="8"/>
  <c r="L75" i="8"/>
  <c r="L76" i="8"/>
  <c r="L77" i="8"/>
  <c r="L78" i="8"/>
  <c r="L79" i="8"/>
  <c r="L95" i="8"/>
  <c r="L96" i="8"/>
  <c r="L97" i="8"/>
  <c r="L98" i="8"/>
  <c r="L99" i="8"/>
  <c r="L100" i="8"/>
  <c r="L101" i="8"/>
  <c r="L110" i="8"/>
  <c r="L111" i="8"/>
  <c r="L112" i="8"/>
  <c r="L113" i="8"/>
  <c r="L126" i="8"/>
  <c r="L127" i="8"/>
  <c r="L128" i="8"/>
  <c r="L129" i="8"/>
  <c r="L130" i="8"/>
  <c r="L131" i="8"/>
  <c r="L132" i="8"/>
  <c r="L133" i="8"/>
  <c r="L144" i="8"/>
  <c r="L145" i="8"/>
  <c r="L146" i="8"/>
  <c r="L147" i="8"/>
  <c r="L156" i="8"/>
  <c r="L157" i="8"/>
  <c r="L158" i="8"/>
  <c r="L167" i="8"/>
  <c r="L168" i="8"/>
  <c r="L169" i="8"/>
  <c r="L179" i="8"/>
  <c r="L180" i="8"/>
  <c r="L181" i="8"/>
  <c r="L198" i="8"/>
  <c r="L199" i="8"/>
  <c r="L200" i="8"/>
  <c r="L201" i="8"/>
  <c r="L202" i="8"/>
  <c r="L203" i="8"/>
  <c r="L204" i="8"/>
  <c r="L205" i="8"/>
  <c r="L206" i="8"/>
  <c r="L207" i="8"/>
  <c r="N27" i="8"/>
  <c r="N26" i="8"/>
  <c r="N24" i="8"/>
  <c r="N74" i="8"/>
  <c r="N80" i="8"/>
  <c r="N79" i="8"/>
  <c r="N78" i="8"/>
  <c r="N77" i="8"/>
  <c r="N76" i="8"/>
  <c r="N75" i="8"/>
  <c r="N14" i="8"/>
  <c r="M24" i="8"/>
  <c r="M25" i="8"/>
  <c r="M26" i="8"/>
  <c r="M27" i="8"/>
  <c r="M9" i="8"/>
  <c r="M15" i="8" s="1"/>
  <c r="M38" i="8"/>
  <c r="M39" i="8"/>
  <c r="M40" i="8"/>
  <c r="M41" i="8"/>
  <c r="M42" i="8"/>
  <c r="M43" i="8"/>
  <c r="M55" i="8"/>
  <c r="M56" i="8"/>
  <c r="M57" i="8"/>
  <c r="M58" i="8"/>
  <c r="M59" i="8"/>
  <c r="M60" i="8"/>
  <c r="M61" i="8"/>
  <c r="M74" i="8"/>
  <c r="M75" i="8"/>
  <c r="M76" i="8"/>
  <c r="M77" i="8"/>
  <c r="M78" i="8"/>
  <c r="M79" i="8"/>
  <c r="M80" i="8"/>
  <c r="M95" i="8"/>
  <c r="M96" i="8"/>
  <c r="M97" i="8"/>
  <c r="M98" i="8"/>
  <c r="M99" i="8"/>
  <c r="M100" i="8"/>
  <c r="M101" i="8"/>
  <c r="M110" i="8"/>
  <c r="M111" i="8"/>
  <c r="M112" i="8"/>
  <c r="M113" i="8"/>
  <c r="M126" i="8"/>
  <c r="M127" i="8"/>
  <c r="M128" i="8"/>
  <c r="M129" i="8"/>
  <c r="M130" i="8"/>
  <c r="M131" i="8"/>
  <c r="M132" i="8"/>
  <c r="M133" i="8"/>
  <c r="M144" i="8"/>
  <c r="M145" i="8"/>
  <c r="M146" i="8"/>
  <c r="M147" i="8"/>
  <c r="M156" i="8"/>
  <c r="M157" i="8"/>
  <c r="M158" i="8"/>
  <c r="M179" i="8"/>
  <c r="M180" i="8"/>
  <c r="M181" i="8"/>
  <c r="M198" i="8"/>
  <c r="M199" i="8"/>
  <c r="M200" i="8"/>
  <c r="M201" i="8"/>
  <c r="M202" i="8"/>
  <c r="M203" i="8"/>
  <c r="M204" i="8"/>
  <c r="M205" i="8"/>
  <c r="M206" i="8"/>
  <c r="M207" i="8"/>
  <c r="N198" i="8"/>
  <c r="N207" i="8"/>
  <c r="N206" i="8"/>
  <c r="N205" i="8"/>
  <c r="N204" i="8"/>
  <c r="N203" i="8"/>
  <c r="N202" i="8"/>
  <c r="N201" i="8"/>
  <c r="N200" i="8"/>
  <c r="N199" i="8"/>
  <c r="N38" i="8"/>
  <c r="N43" i="8"/>
  <c r="N42" i="8"/>
  <c r="N41" i="8"/>
  <c r="N40" i="8"/>
  <c r="N39" i="8"/>
  <c r="N179" i="8"/>
  <c r="N181" i="8"/>
  <c r="N180" i="8"/>
  <c r="N167" i="8"/>
  <c r="N169" i="8"/>
  <c r="N168" i="8"/>
  <c r="N25" i="8"/>
  <c r="N95" i="8"/>
  <c r="N100" i="8"/>
  <c r="N99" i="8"/>
  <c r="N98" i="8"/>
  <c r="N97" i="8"/>
  <c r="N96" i="8"/>
  <c r="I14" i="19"/>
  <c r="B15" i="19"/>
  <c r="I12" i="19"/>
  <c r="I18" i="19"/>
  <c r="I19" i="19"/>
  <c r="I20" i="19"/>
  <c r="I21" i="19"/>
  <c r="B27" i="19"/>
  <c r="B26" i="19"/>
  <c r="B25" i="19"/>
  <c r="B24" i="19"/>
  <c r="I22" i="19"/>
  <c r="C27" i="19"/>
  <c r="C26" i="19"/>
  <c r="C25" i="19"/>
  <c r="C24" i="19"/>
  <c r="D27" i="19"/>
  <c r="D26" i="19"/>
  <c r="D25" i="19"/>
  <c r="D24" i="19"/>
  <c r="E27" i="19"/>
  <c r="E26" i="19"/>
  <c r="E25" i="19"/>
  <c r="E24" i="19"/>
  <c r="F27" i="19"/>
  <c r="F26" i="19"/>
  <c r="F25" i="19"/>
  <c r="F24" i="19"/>
  <c r="G27" i="19"/>
  <c r="G26" i="19"/>
  <c r="G25" i="19"/>
  <c r="G24" i="19"/>
  <c r="H27" i="19"/>
  <c r="H26" i="19"/>
  <c r="H25" i="19"/>
  <c r="H24" i="19"/>
  <c r="I30" i="19"/>
  <c r="I31" i="19"/>
  <c r="I32" i="19"/>
  <c r="I33" i="19"/>
  <c r="I34" i="19"/>
  <c r="B42" i="19"/>
  <c r="B41" i="19"/>
  <c r="B40" i="19"/>
  <c r="B39" i="19"/>
  <c r="B38" i="19"/>
  <c r="I36" i="19"/>
  <c r="C42" i="19"/>
  <c r="C41" i="19"/>
  <c r="C40" i="19"/>
  <c r="C39" i="19"/>
  <c r="C38" i="19"/>
  <c r="D42" i="19"/>
  <c r="D41" i="19"/>
  <c r="D40" i="19"/>
  <c r="D39" i="19"/>
  <c r="D38" i="19"/>
  <c r="E42" i="19"/>
  <c r="E41" i="19"/>
  <c r="E40" i="19"/>
  <c r="E39" i="19"/>
  <c r="E38" i="19"/>
  <c r="F42" i="19"/>
  <c r="F41" i="19"/>
  <c r="F40" i="19"/>
  <c r="F39" i="19"/>
  <c r="F38" i="19"/>
  <c r="G42" i="19"/>
  <c r="G41" i="19"/>
  <c r="G40" i="19"/>
  <c r="G39" i="19"/>
  <c r="G38" i="19"/>
  <c r="H42" i="19"/>
  <c r="H41" i="19"/>
  <c r="H40" i="19"/>
  <c r="H39" i="19"/>
  <c r="H38" i="19"/>
  <c r="I46" i="19"/>
  <c r="I47" i="19"/>
  <c r="I48" i="19"/>
  <c r="I49" i="19"/>
  <c r="I50" i="19"/>
  <c r="B59" i="19"/>
  <c r="B58" i="19"/>
  <c r="B57" i="19"/>
  <c r="B56" i="19"/>
  <c r="B55" i="19"/>
  <c r="I53" i="19"/>
  <c r="C59" i="19"/>
  <c r="C58" i="19"/>
  <c r="C57" i="19"/>
  <c r="C56" i="19"/>
  <c r="C55" i="19"/>
  <c r="D59" i="19"/>
  <c r="D58" i="19"/>
  <c r="D57" i="19"/>
  <c r="D56" i="19"/>
  <c r="D55" i="19"/>
  <c r="E59" i="19"/>
  <c r="E58" i="19"/>
  <c r="E57" i="19"/>
  <c r="E56" i="19"/>
  <c r="E55" i="19"/>
  <c r="F59" i="19"/>
  <c r="F58" i="19"/>
  <c r="F57" i="19"/>
  <c r="F56" i="19"/>
  <c r="F55" i="19"/>
  <c r="G59" i="19"/>
  <c r="G58" i="19"/>
  <c r="G57" i="19"/>
  <c r="G56" i="19"/>
  <c r="G55" i="19"/>
  <c r="H59" i="19"/>
  <c r="H58" i="19"/>
  <c r="H57" i="19"/>
  <c r="H56" i="19"/>
  <c r="H55" i="19"/>
  <c r="I64" i="19"/>
  <c r="I65" i="19"/>
  <c r="I66" i="19"/>
  <c r="I67" i="19"/>
  <c r="I68" i="19"/>
  <c r="I69" i="19"/>
  <c r="B80" i="19"/>
  <c r="B79" i="19"/>
  <c r="B78" i="19"/>
  <c r="B77" i="19"/>
  <c r="B76" i="19"/>
  <c r="B75" i="19"/>
  <c r="B74" i="19"/>
  <c r="I72" i="19"/>
  <c r="C80" i="19"/>
  <c r="C79" i="19"/>
  <c r="C78" i="19"/>
  <c r="C77" i="19"/>
  <c r="C76" i="19"/>
  <c r="C75" i="19"/>
  <c r="C74" i="19"/>
  <c r="D80" i="19"/>
  <c r="D79" i="19"/>
  <c r="D78" i="19"/>
  <c r="D77" i="19"/>
  <c r="D76" i="19"/>
  <c r="D75" i="19"/>
  <c r="D74" i="19"/>
  <c r="E80" i="19"/>
  <c r="E79" i="19"/>
  <c r="E78" i="19"/>
  <c r="E77" i="19"/>
  <c r="E76" i="19"/>
  <c r="E75" i="19"/>
  <c r="E74" i="19"/>
  <c r="F80" i="19"/>
  <c r="F79" i="19"/>
  <c r="F78" i="19"/>
  <c r="F77" i="19"/>
  <c r="F76" i="19"/>
  <c r="F75" i="19"/>
  <c r="F74" i="19"/>
  <c r="G80" i="19"/>
  <c r="G79" i="19"/>
  <c r="G78" i="19"/>
  <c r="G77" i="19"/>
  <c r="G76" i="19"/>
  <c r="G75" i="19"/>
  <c r="G74" i="19"/>
  <c r="H80" i="19"/>
  <c r="H79" i="19"/>
  <c r="H78" i="19"/>
  <c r="H77" i="19"/>
  <c r="H76" i="19"/>
  <c r="H75" i="19"/>
  <c r="H74" i="19"/>
  <c r="I86" i="19"/>
  <c r="I87" i="19"/>
  <c r="I88" i="19"/>
  <c r="I89" i="19"/>
  <c r="I90" i="19"/>
  <c r="I91" i="19"/>
  <c r="I92" i="19"/>
  <c r="B101" i="19"/>
  <c r="B100" i="19"/>
  <c r="B99" i="19"/>
  <c r="B98" i="19"/>
  <c r="B97" i="19"/>
  <c r="B96" i="19"/>
  <c r="B95" i="19"/>
  <c r="I93" i="19"/>
  <c r="C101" i="19"/>
  <c r="C100" i="19"/>
  <c r="C99" i="19"/>
  <c r="C98" i="19"/>
  <c r="C97" i="19"/>
  <c r="C96" i="19"/>
  <c r="C95" i="19"/>
  <c r="D101" i="19"/>
  <c r="D100" i="19"/>
  <c r="D99" i="19"/>
  <c r="D98" i="19"/>
  <c r="D97" i="19"/>
  <c r="D96" i="19"/>
  <c r="D95" i="19"/>
  <c r="E101" i="19"/>
  <c r="E100" i="19"/>
  <c r="E99" i="19"/>
  <c r="E98" i="19"/>
  <c r="E97" i="19"/>
  <c r="E96" i="19"/>
  <c r="E95" i="19"/>
  <c r="F101" i="19"/>
  <c r="F100" i="19"/>
  <c r="F99" i="19"/>
  <c r="F98" i="19"/>
  <c r="F97" i="19"/>
  <c r="F96" i="19"/>
  <c r="F95" i="19"/>
  <c r="G101" i="19"/>
  <c r="G100" i="19"/>
  <c r="G99" i="19"/>
  <c r="G98" i="19"/>
  <c r="G97" i="19"/>
  <c r="G96" i="19"/>
  <c r="G95" i="19"/>
  <c r="H101" i="19"/>
  <c r="H100" i="19"/>
  <c r="H99" i="19"/>
  <c r="H98" i="19"/>
  <c r="H97" i="19"/>
  <c r="H96" i="19"/>
  <c r="H95" i="19"/>
  <c r="I104" i="19"/>
  <c r="I105" i="19"/>
  <c r="I106" i="19"/>
  <c r="I107" i="19"/>
  <c r="B113" i="19"/>
  <c r="B112" i="19"/>
  <c r="B111" i="19"/>
  <c r="B110" i="19"/>
  <c r="I108" i="19"/>
  <c r="C113" i="19"/>
  <c r="C112" i="19"/>
  <c r="C111" i="19"/>
  <c r="C110" i="19"/>
  <c r="D113" i="19"/>
  <c r="D112" i="19"/>
  <c r="D111" i="19"/>
  <c r="D110" i="19"/>
  <c r="E113" i="19"/>
  <c r="E112" i="19"/>
  <c r="E111" i="19"/>
  <c r="E110" i="19"/>
  <c r="F113" i="19"/>
  <c r="F112" i="19"/>
  <c r="F111" i="19"/>
  <c r="F110" i="19"/>
  <c r="G113" i="19"/>
  <c r="G112" i="19"/>
  <c r="G111" i="19"/>
  <c r="G110" i="19"/>
  <c r="H113" i="19"/>
  <c r="H112" i="19"/>
  <c r="H111" i="19"/>
  <c r="H110" i="19"/>
  <c r="I116" i="19"/>
  <c r="I117" i="19"/>
  <c r="I118" i="19"/>
  <c r="I119" i="19"/>
  <c r="I120" i="19"/>
  <c r="I121" i="19"/>
  <c r="I122" i="19"/>
  <c r="I123" i="19"/>
  <c r="B133" i="19"/>
  <c r="B132" i="19"/>
  <c r="B131" i="19"/>
  <c r="B130" i="19"/>
  <c r="B129" i="19"/>
  <c r="B128" i="19"/>
  <c r="B127" i="19"/>
  <c r="B126" i="19"/>
  <c r="I124" i="19"/>
  <c r="C133" i="19"/>
  <c r="C132" i="19"/>
  <c r="C131" i="19"/>
  <c r="C130" i="19"/>
  <c r="C129" i="19"/>
  <c r="C128" i="19"/>
  <c r="C127" i="19"/>
  <c r="C126" i="19"/>
  <c r="D133" i="19"/>
  <c r="D132" i="19"/>
  <c r="D131" i="19"/>
  <c r="D130" i="19"/>
  <c r="D129" i="19"/>
  <c r="D128" i="19"/>
  <c r="D127" i="19"/>
  <c r="D126" i="19"/>
  <c r="E133" i="19"/>
  <c r="E132" i="19"/>
  <c r="E131" i="19"/>
  <c r="E130" i="19"/>
  <c r="E129" i="19"/>
  <c r="E128" i="19"/>
  <c r="E127" i="19"/>
  <c r="E126" i="19"/>
  <c r="F133" i="19"/>
  <c r="F132" i="19"/>
  <c r="F131" i="19"/>
  <c r="F130" i="19"/>
  <c r="F129" i="19"/>
  <c r="F128" i="19"/>
  <c r="F127" i="19"/>
  <c r="F126" i="19"/>
  <c r="G133" i="19"/>
  <c r="G132" i="19"/>
  <c r="G131" i="19"/>
  <c r="G130" i="19"/>
  <c r="G129" i="19"/>
  <c r="G128" i="19"/>
  <c r="G127" i="19"/>
  <c r="G126" i="19"/>
  <c r="H133" i="19"/>
  <c r="H132" i="19"/>
  <c r="H131" i="19"/>
  <c r="H130" i="19"/>
  <c r="H129" i="19"/>
  <c r="H128" i="19"/>
  <c r="H127" i="19"/>
  <c r="H126" i="19"/>
  <c r="I138" i="19"/>
  <c r="I139" i="19"/>
  <c r="I140" i="19"/>
  <c r="B145" i="19"/>
  <c r="B144" i="19"/>
  <c r="B143" i="19"/>
  <c r="I141" i="19"/>
  <c r="C145" i="19"/>
  <c r="C144" i="19"/>
  <c r="C143" i="19"/>
  <c r="D145" i="19"/>
  <c r="D144" i="19"/>
  <c r="D143" i="19"/>
  <c r="E145" i="19"/>
  <c r="E144" i="19"/>
  <c r="E143" i="19"/>
  <c r="F145" i="19"/>
  <c r="F144" i="19"/>
  <c r="F143" i="19"/>
  <c r="G145" i="19"/>
  <c r="G144" i="19"/>
  <c r="G143" i="19"/>
  <c r="H145" i="19"/>
  <c r="H144" i="19"/>
  <c r="H143" i="19"/>
  <c r="I149" i="19"/>
  <c r="I150" i="19"/>
  <c r="I151" i="19"/>
  <c r="B156" i="19"/>
  <c r="B155" i="19"/>
  <c r="B154" i="19"/>
  <c r="I152" i="19"/>
  <c r="C156" i="19"/>
  <c r="C155" i="19"/>
  <c r="C154" i="19"/>
  <c r="D156" i="19"/>
  <c r="D155" i="19"/>
  <c r="D154" i="19"/>
  <c r="E156" i="19"/>
  <c r="E155" i="19"/>
  <c r="E154" i="19"/>
  <c r="F156" i="19"/>
  <c r="F155" i="19"/>
  <c r="F154" i="19"/>
  <c r="G156" i="19"/>
  <c r="G155" i="19"/>
  <c r="G154" i="19"/>
  <c r="H156" i="19"/>
  <c r="H155" i="19"/>
  <c r="H154" i="19"/>
  <c r="I160" i="19"/>
  <c r="I161" i="19"/>
  <c r="B166" i="19"/>
  <c r="B165" i="19"/>
  <c r="I163" i="19"/>
  <c r="C166" i="19"/>
  <c r="C165" i="19"/>
  <c r="D166" i="19"/>
  <c r="D165" i="19"/>
  <c r="E166" i="19"/>
  <c r="E165" i="19"/>
  <c r="F166" i="19"/>
  <c r="F165" i="19"/>
  <c r="G166" i="19"/>
  <c r="G165" i="19"/>
  <c r="H166" i="19"/>
  <c r="H165" i="19"/>
  <c r="I172" i="19"/>
  <c r="I173" i="19"/>
  <c r="I174" i="19"/>
  <c r="B179" i="19"/>
  <c r="B178" i="19"/>
  <c r="B177" i="19"/>
  <c r="I175" i="19"/>
  <c r="C179" i="19"/>
  <c r="C178" i="19"/>
  <c r="C177" i="19"/>
  <c r="D179" i="19"/>
  <c r="D178" i="19"/>
  <c r="D177" i="19"/>
  <c r="E179" i="19"/>
  <c r="E178" i="19"/>
  <c r="E177" i="19"/>
  <c r="F179" i="19"/>
  <c r="F178" i="19"/>
  <c r="F177" i="19"/>
  <c r="G179" i="19"/>
  <c r="G178" i="19"/>
  <c r="G177" i="19"/>
  <c r="H179" i="19"/>
  <c r="H178" i="19"/>
  <c r="H177" i="19"/>
  <c r="I184" i="19"/>
  <c r="I185" i="19"/>
  <c r="I186" i="19"/>
  <c r="I187" i="19"/>
  <c r="I188" i="19"/>
  <c r="I189" i="19"/>
  <c r="I190" i="19"/>
  <c r="I191" i="19"/>
  <c r="I192" i="19"/>
  <c r="I193" i="19"/>
  <c r="B205" i="19"/>
  <c r="B204" i="19"/>
  <c r="B203" i="19"/>
  <c r="B202" i="19"/>
  <c r="B201" i="19"/>
  <c r="B200" i="19"/>
  <c r="B199" i="19"/>
  <c r="B198" i="19"/>
  <c r="B197" i="19"/>
  <c r="B196" i="19"/>
  <c r="I194" i="19"/>
  <c r="C205" i="19"/>
  <c r="C204" i="19"/>
  <c r="C203" i="19"/>
  <c r="C202" i="19"/>
  <c r="C201" i="19"/>
  <c r="C200" i="19"/>
  <c r="C199" i="19"/>
  <c r="C198" i="19"/>
  <c r="C197" i="19"/>
  <c r="C196" i="19"/>
  <c r="D205" i="19"/>
  <c r="D204" i="19"/>
  <c r="D203" i="19"/>
  <c r="D202" i="19"/>
  <c r="D201" i="19"/>
  <c r="D200" i="19"/>
  <c r="D199" i="19"/>
  <c r="D198" i="19"/>
  <c r="D197" i="19"/>
  <c r="D196" i="19"/>
  <c r="E205" i="19"/>
  <c r="E204" i="19"/>
  <c r="E203" i="19"/>
  <c r="E202" i="19"/>
  <c r="E201" i="19"/>
  <c r="E200" i="19"/>
  <c r="E199" i="19"/>
  <c r="E198" i="19"/>
  <c r="E197" i="19"/>
  <c r="E196" i="19"/>
  <c r="F205" i="19"/>
  <c r="F204" i="19"/>
  <c r="F203" i="19"/>
  <c r="F202" i="19"/>
  <c r="F201" i="19"/>
  <c r="F200" i="19"/>
  <c r="F199" i="19"/>
  <c r="F198" i="19"/>
  <c r="F197" i="19"/>
  <c r="F196" i="19"/>
  <c r="G205" i="19"/>
  <c r="G204" i="19"/>
  <c r="G203" i="19"/>
  <c r="G202" i="19"/>
  <c r="G201" i="19"/>
  <c r="G200" i="19"/>
  <c r="G199" i="19"/>
  <c r="G198" i="19"/>
  <c r="G197" i="19"/>
  <c r="G196" i="19"/>
  <c r="H205" i="19"/>
  <c r="H204" i="19"/>
  <c r="H203" i="19"/>
  <c r="H202" i="19"/>
  <c r="H201" i="19"/>
  <c r="H200" i="19"/>
  <c r="H199" i="19"/>
  <c r="H198" i="19"/>
  <c r="H197" i="19"/>
  <c r="H196" i="19"/>
  <c r="I208" i="19"/>
  <c r="I209" i="19"/>
  <c r="B213" i="19"/>
  <c r="B212" i="19"/>
  <c r="I210" i="19"/>
  <c r="C213" i="19"/>
  <c r="C212" i="19"/>
  <c r="D213" i="19"/>
  <c r="D212" i="19"/>
  <c r="E213" i="19"/>
  <c r="E212" i="19"/>
  <c r="F213" i="19"/>
  <c r="F212" i="19"/>
  <c r="G213" i="19"/>
  <c r="G212" i="19"/>
  <c r="H213" i="19"/>
  <c r="H212" i="19"/>
  <c r="L15" i="14" l="1"/>
  <c r="N9" i="14"/>
  <c r="N15" i="14" s="1"/>
  <c r="K157" i="9"/>
  <c r="K155" i="9"/>
  <c r="K156" i="9"/>
  <c r="K145" i="9"/>
  <c r="K146" i="9"/>
  <c r="K143" i="9"/>
  <c r="K144" i="9"/>
  <c r="K111" i="9"/>
  <c r="K112" i="9"/>
  <c r="K109" i="9"/>
  <c r="K110" i="9"/>
  <c r="K98" i="9"/>
  <c r="K94" i="9"/>
  <c r="K95" i="9"/>
  <c r="K96" i="9"/>
  <c r="K97" i="9"/>
  <c r="K99" i="9"/>
  <c r="K100" i="9"/>
  <c r="K56" i="9"/>
  <c r="K57" i="9"/>
  <c r="K58" i="9"/>
  <c r="K59" i="9"/>
  <c r="K60" i="9"/>
  <c r="K61" i="9"/>
  <c r="K55" i="9"/>
  <c r="L15" i="8"/>
  <c r="N9" i="8"/>
  <c r="I213" i="19"/>
  <c r="I212" i="19"/>
  <c r="I205" i="19"/>
  <c r="I204" i="19"/>
  <c r="I203" i="19"/>
  <c r="I202" i="19"/>
  <c r="I201" i="19"/>
  <c r="I200" i="19"/>
  <c r="I199" i="19"/>
  <c r="I198" i="19"/>
  <c r="I197" i="19"/>
  <c r="I196" i="19"/>
  <c r="I179" i="19"/>
  <c r="I178" i="19"/>
  <c r="I181" i="19"/>
  <c r="I177" i="19"/>
  <c r="I166" i="19"/>
  <c r="I169" i="19"/>
  <c r="I165" i="19"/>
  <c r="I156" i="19"/>
  <c r="I155" i="19"/>
  <c r="I154" i="19"/>
  <c r="I145" i="19"/>
  <c r="I144" i="19"/>
  <c r="I143" i="19"/>
  <c r="I133" i="19"/>
  <c r="I132" i="19"/>
  <c r="I131" i="19"/>
  <c r="I130" i="19"/>
  <c r="I129" i="19"/>
  <c r="I128" i="19"/>
  <c r="I127" i="19"/>
  <c r="I126" i="19"/>
  <c r="I113" i="19"/>
  <c r="I112" i="19"/>
  <c r="I111" i="19"/>
  <c r="I110" i="19"/>
  <c r="I101" i="19"/>
  <c r="I100" i="19"/>
  <c r="I99" i="19"/>
  <c r="I98" i="19"/>
  <c r="I97" i="19"/>
  <c r="I96" i="19"/>
  <c r="I95" i="19"/>
  <c r="I80" i="19"/>
  <c r="I79" i="19"/>
  <c r="I78" i="19"/>
  <c r="I77" i="19"/>
  <c r="I76" i="19"/>
  <c r="I75" i="19"/>
  <c r="I74" i="19"/>
  <c r="I59" i="19"/>
  <c r="I58" i="19"/>
  <c r="I57" i="19"/>
  <c r="I56" i="19"/>
  <c r="I55" i="19"/>
  <c r="I42" i="19"/>
  <c r="I41" i="19"/>
  <c r="I40" i="19"/>
  <c r="I39" i="19"/>
  <c r="I38" i="19"/>
  <c r="I27" i="19"/>
  <c r="I26" i="19"/>
  <c r="I25" i="19"/>
  <c r="I24" i="19"/>
  <c r="N15" i="8" l="1"/>
  <c r="I9" i="19"/>
  <c r="I15" i="19" l="1"/>
  <c r="D169" i="8" l="1"/>
  <c r="D167" i="8"/>
  <c r="D168" i="8"/>
  <c r="C169" i="8"/>
  <c r="C167" i="8"/>
  <c r="C168" i="8"/>
  <c r="B169" i="8"/>
  <c r="B167" i="8"/>
  <c r="B168" i="8"/>
  <c r="J81" i="9"/>
  <c r="J77" i="9"/>
  <c r="J75" i="9"/>
  <c r="J76" i="9"/>
  <c r="J74" i="9"/>
  <c r="J79" i="9"/>
  <c r="J78" i="9"/>
  <c r="J72" i="9"/>
  <c r="J80" i="9"/>
</calcChain>
</file>

<file path=xl/sharedStrings.xml><?xml version="1.0" encoding="utf-8"?>
<sst xmlns="http://schemas.openxmlformats.org/spreadsheetml/2006/main" count="1075" uniqueCount="164">
  <si>
    <t>Year</t>
  </si>
  <si>
    <t>Quarters</t>
  </si>
  <si>
    <t>Q1</t>
  </si>
  <si>
    <t>Q2</t>
  </si>
  <si>
    <t>Q3</t>
  </si>
  <si>
    <t>Q4</t>
  </si>
  <si>
    <t>Month</t>
  </si>
  <si>
    <t>Yr Total</t>
  </si>
  <si>
    <t>Teams</t>
  </si>
  <si>
    <t>General Incident Response</t>
  </si>
  <si>
    <t>In Service Days</t>
  </si>
  <si>
    <t>Dispatched Response</t>
  </si>
  <si>
    <t>Total Incident Response</t>
  </si>
  <si>
    <t>Not Collected / Captured</t>
  </si>
  <si>
    <t>Average</t>
  </si>
  <si>
    <t>Avg Dispatched Calls per In Service Days</t>
  </si>
  <si>
    <t>Avg Number of Teams per In Service Day</t>
  </si>
  <si>
    <t>PERCENTAGE</t>
  </si>
  <si>
    <t>Percentage of Dispatched Incidents</t>
  </si>
  <si>
    <t>Source of Incident / Call</t>
  </si>
  <si>
    <t>On-View (Self-Dispatch)</t>
  </si>
  <si>
    <t>911 Dispatch (OPD)</t>
  </si>
  <si>
    <t>Fire Communications (OFD) + MACRO Direct Line</t>
  </si>
  <si>
    <t>Community Referral (Email)</t>
  </si>
  <si>
    <t>Total</t>
  </si>
  <si>
    <t>Incident Types</t>
  </si>
  <si>
    <t>Wellness Check</t>
  </si>
  <si>
    <t>Sleeper</t>
  </si>
  <si>
    <t>Behavioral Concern</t>
  </si>
  <si>
    <t>Public Indecency /Indecent Exposure /Nakedness</t>
  </si>
  <si>
    <t>Other</t>
  </si>
  <si>
    <t>Blank</t>
  </si>
  <si>
    <t>Public Indecency</t>
  </si>
  <si>
    <t>Resolution Codes</t>
  </si>
  <si>
    <t>MCC -Call Complete</t>
  </si>
  <si>
    <t>MPD - Transferred to Law Enforcement</t>
  </si>
  <si>
    <t>MPTA - Patient Transport by Ambulance</t>
  </si>
  <si>
    <t>MPTM - Patient Transport MACRO</t>
  </si>
  <si>
    <t>MNL - Unable to Locate</t>
  </si>
  <si>
    <t>MUTL - Unable to Locate</t>
  </si>
  <si>
    <t xml:space="preserve">Zones Responses </t>
  </si>
  <si>
    <t>Z-TWO</t>
  </si>
  <si>
    <t>Z-THREE</t>
  </si>
  <si>
    <t>Z-FOUR</t>
  </si>
  <si>
    <t>Z-FIVE</t>
  </si>
  <si>
    <t>Z-SIX</t>
  </si>
  <si>
    <t>Z-SEVEN</t>
  </si>
  <si>
    <t>Z-EIGHT (ALL OTHER)</t>
  </si>
  <si>
    <t>Service Recipients Demographics</t>
  </si>
  <si>
    <t>Race</t>
  </si>
  <si>
    <t>Black</t>
  </si>
  <si>
    <t>White</t>
  </si>
  <si>
    <t>Latinx / Hispanic</t>
  </si>
  <si>
    <t>Asian / AAPI</t>
  </si>
  <si>
    <t>Native American</t>
  </si>
  <si>
    <t xml:space="preserve">Blank / Not collected </t>
  </si>
  <si>
    <t>Asian</t>
  </si>
  <si>
    <t>Gender</t>
  </si>
  <si>
    <t>Male</t>
  </si>
  <si>
    <t>Female</t>
  </si>
  <si>
    <t>Non Binary</t>
  </si>
  <si>
    <t>Age</t>
  </si>
  <si>
    <t>x&lt;25</t>
  </si>
  <si>
    <t>25-35</t>
  </si>
  <si>
    <t>36-45</t>
  </si>
  <si>
    <t>46-55</t>
  </si>
  <si>
    <t>56-65</t>
  </si>
  <si>
    <t>66-76</t>
  </si>
  <si>
    <t>77+</t>
  </si>
  <si>
    <t>Service Recipient Characteristics</t>
  </si>
  <si>
    <t>Previous Contact</t>
  </si>
  <si>
    <t>No</t>
  </si>
  <si>
    <t>Yes</t>
  </si>
  <si>
    <t>Experiencing Homelessness</t>
  </si>
  <si>
    <t>Not Collected</t>
  </si>
  <si>
    <t xml:space="preserve">Service Referrals </t>
  </si>
  <si>
    <t>Avg Referrals / Per In Service Days</t>
  </si>
  <si>
    <t>Supplies Given</t>
  </si>
  <si>
    <t>Not Captured</t>
  </si>
  <si>
    <t>Avg Supplies Given / Per In Service Days</t>
  </si>
  <si>
    <t>Response Location</t>
  </si>
  <si>
    <t>Undefined /Street</t>
  </si>
  <si>
    <t>Business</t>
  </si>
  <si>
    <t>Library</t>
  </si>
  <si>
    <t>School</t>
  </si>
  <si>
    <t>Park</t>
  </si>
  <si>
    <t>Private Residence</t>
  </si>
  <si>
    <t>Apartment Complex / Building</t>
  </si>
  <si>
    <t>Church</t>
  </si>
  <si>
    <t>All Other Locations</t>
  </si>
  <si>
    <t>Medical Aid Rendered</t>
  </si>
  <si>
    <t>AVERAGE</t>
  </si>
  <si>
    <t>Percentage</t>
  </si>
  <si>
    <t xml:space="preserve">Total </t>
  </si>
  <si>
    <t>Fire Communications (OFD)</t>
  </si>
  <si>
    <t>MACRO Direct Line</t>
  </si>
  <si>
    <t xml:space="preserve">Totals </t>
  </si>
  <si>
    <t>OPD [Non-Dispatched] Stops</t>
  </si>
  <si>
    <t>2025 p/d</t>
  </si>
  <si>
    <t>OPD</t>
  </si>
  <si>
    <t>%</t>
  </si>
  <si>
    <t>Pandemic</t>
  </si>
  <si>
    <t>MACRO In Svc</t>
  </si>
  <si>
    <t>6 Months</t>
  </si>
  <si>
    <t>2024 Avg</t>
  </si>
  <si>
    <t>Avg</t>
  </si>
  <si>
    <t>Dispatched Stop</t>
  </si>
  <si>
    <t>OPD STOP DATA &amp; MACRO RESPONSE DATA</t>
  </si>
  <si>
    <t>Stops P/D</t>
  </si>
  <si>
    <t>Dispatched</t>
  </si>
  <si>
    <t>Non-Dispatched Stops</t>
  </si>
  <si>
    <t>OPD NP Avg 2024</t>
  </si>
  <si>
    <t>OPD STOP DATA</t>
  </si>
  <si>
    <t>OPD TOTAL Stops</t>
  </si>
  <si>
    <t>OPD Dis</t>
  </si>
  <si>
    <t>Total OPD Stops 2024</t>
  </si>
  <si>
    <t>OPD [Dispatched] Stops</t>
  </si>
  <si>
    <t>CC</t>
  </si>
  <si>
    <t>MAC Dis</t>
  </si>
  <si>
    <t>Community Caretaking</t>
  </si>
  <si>
    <t>OPD REASON for Stop - [Community Caretaking]</t>
  </si>
  <si>
    <t>R-5150</t>
  </si>
  <si>
    <t>CC Dis</t>
  </si>
  <si>
    <t>OPD RESULT of Stop - [5150]</t>
  </si>
  <si>
    <t>Yr AVG OPD Total Stops</t>
  </si>
  <si>
    <t>% OPD [Dispatched] STOPS / OPD TOTAL Stops</t>
  </si>
  <si>
    <t>Total Community Caretaking Stops</t>
  </si>
  <si>
    <t>CC Stops</t>
  </si>
  <si>
    <t>Dis +</t>
  </si>
  <si>
    <t>Yr AVG OPD Dispatched Stops</t>
  </si>
  <si>
    <t>% OPD Reason for Stop - [Community Caretaking] / OPD TOTAL Stops</t>
  </si>
  <si>
    <t>MACRO Incidents from PD</t>
  </si>
  <si>
    <t>Yr AVG OPD CC Stops</t>
  </si>
  <si>
    <t xml:space="preserve">% OPD RESULT of Stop - [5150] / OPD REASON of Stop - [Community Caretaking] </t>
  </si>
  <si>
    <t>MACRO</t>
  </si>
  <si>
    <t>% OPD Dispatched Stop of Total Stops</t>
  </si>
  <si>
    <t>% OPD RESULT of Stop - [5150] / OPD TOTAL Stop</t>
  </si>
  <si>
    <t>LT Total</t>
  </si>
  <si>
    <t>Dispatched Incidents</t>
  </si>
  <si>
    <t>MACRO Dispatched Incidents % of OPD Dispatched Stops</t>
  </si>
  <si>
    <t>% OPD CC Stops of Total OPD Stops</t>
  </si>
  <si>
    <t>MACRO TOTAL Responses</t>
  </si>
  <si>
    <t>Total MR</t>
  </si>
  <si>
    <t xml:space="preserve">Non-Dispatched Incidents </t>
  </si>
  <si>
    <t>Absorbed</t>
  </si>
  <si>
    <t>Incease</t>
  </si>
  <si>
    <t>MACRO [Dispatched] Responses</t>
  </si>
  <si>
    <t>MR Dis</t>
  </si>
  <si>
    <t>Total MACRO Total Incidents 2024</t>
  </si>
  <si>
    <t>% OPD [Non-Dispatched] Stops</t>
  </si>
  <si>
    <t>MACRO [Dispatched]  Responses - SOURCE [OPD TRANSFER]</t>
  </si>
  <si>
    <t>Pre MACRO</t>
  </si>
  <si>
    <t>MACRO Total Incidents &amp; OPD Dispatches</t>
  </si>
  <si>
    <t>% MACRO [Dispatched] Responses / MACRO TOTAL Responses</t>
  </si>
  <si>
    <t>With MACRO (Universe of Opportunity)</t>
  </si>
  <si>
    <t>% MACRO [Dispatched]  Responses - SOURCE [OPD TRANSFER] / MACRO TOTAL Responses</t>
  </si>
  <si>
    <t>% MACRO [Dispatched] Respones / OPD  [Dispatched] Stops</t>
  </si>
  <si>
    <t>% MACRO [Dispatched]  Responses - SOURCE [OPD TRANSFER] / OPD [Dispatched] Stops</t>
  </si>
  <si>
    <t>% MACRO [Dispatched]  Responses - SOURCE [OPD TRANSFER] / (OPD REASON for Stop - [Community Caretaking])</t>
  </si>
  <si>
    <t>% MACRO [Dispatched]  Responses - SOURCE [OPD TRANSFER] / (MACRO [Dispatched]  Responses - SOURCE [OPD TRANSFER] +  OPD [Dispatched] Stops)</t>
  </si>
  <si>
    <t>% MACRO [Dispatched]  Responses - SOURCE [OPD TRANSFER] / (MACRO [Dispatched]  Responses - SOURCE [OPD TRANSFER] +  OPD REASON for Stop - [Community Caretaking])</t>
  </si>
  <si>
    <t>% MACRO [Dispatched] Respones / (MACRO [Dispatched] Respones + OPD  [Dispatched] Stops)</t>
  </si>
  <si>
    <t>MACRO Dispatched Respones + OPD Dispatches  / % Total OPD Dispatched stops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</si>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</sst>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33">
    <xf numFmtId="0" fontId="0" fillId="0" borderId="0" xfId="0"/>
    <xf numFmtId="0" fontId="1" fillId="0" borderId="0" xfId="0" applyFont="1"/>
    <xf numFmtId="1" fontId="0" fillId="0" borderId="0" xfId="0" applyNumberFormat="1"/>
    <xf numFmtId="9" fontId="0" fillId="0" borderId="0" xfId="1" applyFont="1"/>
    <xf numFmtId="9" fontId="0" fillId="0" borderId="0" xfId="0" applyNumberFormat="1"/>
    <xf numFmtId="0" fontId="0" fillId="0" borderId="1" xfId="0" applyBorder="1"/>
    <xf numFmtId="0" fontId="0" fillId="0" borderId="0" xfId="0" applyAlignment="1">
      <alignment wrapText="1"/>
    </xf>
    <xf numFmtId="164" fontId="0" fillId="0" borderId="0" xfId="0" applyNumberFormat="1"/>
    <xf numFmtId="164" fontId="0" fillId="0" borderId="1" xfId="0" applyNumberFormat="1" applyBorder="1"/>
    <xf numFmtId="0" fontId="0" fillId="0" borderId="4" xfId="0" applyBorder="1"/>
    <xf numFmtId="0" fontId="0" fillId="0" borderId="3" xfId="0" applyBorder="1"/>
    <xf numFmtId="0" fontId="0" fillId="0" borderId="15" xfId="0" applyBorder="1"/>
    <xf numFmtId="9" fontId="0" fillId="0" borderId="15" xfId="1" applyFont="1" applyBorder="1"/>
    <xf numFmtId="0" fontId="0" fillId="0" borderId="2" xfId="0" applyBorder="1"/>
    <xf numFmtId="9" fontId="0" fillId="0" borderId="21" xfId="1" applyFont="1" applyBorder="1"/>
    <xf numFmtId="9" fontId="0" fillId="0" borderId="2" xfId="0" applyNumberFormat="1" applyBorder="1"/>
    <xf numFmtId="0" fontId="0" fillId="0" borderId="22" xfId="0" applyBorder="1" applyAlignment="1">
      <alignment wrapText="1"/>
    </xf>
    <xf numFmtId="0" fontId="0" fillId="0" borderId="23" xfId="0" applyBorder="1"/>
    <xf numFmtId="0" fontId="0" fillId="0" borderId="24" xfId="0" applyBorder="1" applyAlignment="1">
      <alignment wrapText="1"/>
    </xf>
    <xf numFmtId="0" fontId="0" fillId="0" borderId="25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26" xfId="0" applyBorder="1" applyAlignment="1">
      <alignment wrapText="1"/>
    </xf>
    <xf numFmtId="0" fontId="0" fillId="0" borderId="28" xfId="0" applyBorder="1" applyAlignment="1">
      <alignment wrapText="1"/>
    </xf>
    <xf numFmtId="9" fontId="0" fillId="0" borderId="29" xfId="0" applyNumberFormat="1" applyBorder="1"/>
    <xf numFmtId="0" fontId="0" fillId="0" borderId="30" xfId="0" applyBorder="1" applyAlignment="1">
      <alignment wrapText="1"/>
    </xf>
    <xf numFmtId="9" fontId="0" fillId="0" borderId="4" xfId="0" applyNumberFormat="1" applyBorder="1"/>
    <xf numFmtId="9" fontId="0" fillId="0" borderId="32" xfId="0" applyNumberFormat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28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7" borderId="2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2" xfId="0" applyFill="1" applyBorder="1"/>
    <xf numFmtId="9" fontId="0" fillId="6" borderId="2" xfId="0" applyNumberFormat="1" applyFill="1" applyBorder="1"/>
    <xf numFmtId="0" fontId="0" fillId="6" borderId="1" xfId="0" applyFill="1" applyBorder="1"/>
    <xf numFmtId="9" fontId="0" fillId="6" borderId="1" xfId="0" applyNumberFormat="1" applyFill="1" applyBorder="1"/>
    <xf numFmtId="0" fontId="0" fillId="6" borderId="28" xfId="0" applyFill="1" applyBorder="1" applyAlignment="1">
      <alignment wrapText="1"/>
    </xf>
    <xf numFmtId="9" fontId="0" fillId="6" borderId="2" xfId="1" applyFont="1" applyFill="1" applyBorder="1"/>
    <xf numFmtId="9" fontId="0" fillId="6" borderId="32" xfId="0" applyNumberFormat="1" applyFill="1" applyBorder="1" applyAlignment="1">
      <alignment wrapText="1"/>
    </xf>
    <xf numFmtId="9" fontId="0" fillId="6" borderId="33" xfId="0" applyNumberFormat="1" applyFill="1" applyBorder="1"/>
    <xf numFmtId="0" fontId="0" fillId="6" borderId="24" xfId="0" applyFill="1" applyBorder="1" applyAlignment="1">
      <alignment wrapText="1"/>
    </xf>
    <xf numFmtId="9" fontId="0" fillId="6" borderId="15" xfId="0" applyNumberFormat="1" applyFill="1" applyBorder="1"/>
    <xf numFmtId="9" fontId="0" fillId="6" borderId="15" xfId="1" applyFont="1" applyFill="1" applyBorder="1"/>
    <xf numFmtId="0" fontId="0" fillId="0" borderId="38" xfId="0" applyBorder="1"/>
    <xf numFmtId="0" fontId="1" fillId="0" borderId="15" xfId="0" applyFont="1" applyBorder="1"/>
    <xf numFmtId="0" fontId="1" fillId="0" borderId="25" xfId="0" applyFont="1" applyBorder="1"/>
    <xf numFmtId="0" fontId="0" fillId="0" borderId="23" xfId="0" applyBorder="1" applyAlignment="1">
      <alignment horizontal="center"/>
    </xf>
    <xf numFmtId="164" fontId="0" fillId="0" borderId="10" xfId="0" applyNumberFormat="1" applyBorder="1"/>
    <xf numFmtId="0" fontId="0" fillId="0" borderId="45" xfId="0" applyBorder="1"/>
    <xf numFmtId="0" fontId="0" fillId="0" borderId="21" xfId="0" applyBorder="1"/>
    <xf numFmtId="0" fontId="0" fillId="0" borderId="27" xfId="0" applyBorder="1"/>
    <xf numFmtId="0" fontId="0" fillId="0" borderId="35" xfId="0" applyBorder="1" applyAlignment="1">
      <alignment wrapText="1"/>
    </xf>
    <xf numFmtId="164" fontId="0" fillId="0" borderId="36" xfId="0" applyNumberFormat="1" applyBorder="1"/>
    <xf numFmtId="164" fontId="0" fillId="0" borderId="37" xfId="0" applyNumberFormat="1" applyBorder="1"/>
    <xf numFmtId="0" fontId="0" fillId="0" borderId="11" xfId="0" applyBorder="1" applyAlignment="1">
      <alignment wrapText="1"/>
    </xf>
    <xf numFmtId="9" fontId="0" fillId="0" borderId="12" xfId="0" applyNumberFormat="1" applyBorder="1"/>
    <xf numFmtId="9" fontId="0" fillId="0" borderId="13" xfId="0" applyNumberFormat="1" applyBorder="1"/>
    <xf numFmtId="164" fontId="0" fillId="0" borderId="2" xfId="0" applyNumberFormat="1" applyBorder="1"/>
    <xf numFmtId="164" fontId="0" fillId="0" borderId="29" xfId="0" applyNumberFormat="1" applyBorder="1"/>
    <xf numFmtId="9" fontId="0" fillId="0" borderId="36" xfId="0" applyNumberFormat="1" applyBorder="1"/>
    <xf numFmtId="9" fontId="0" fillId="0" borderId="37" xfId="0" applyNumberFormat="1" applyBorder="1"/>
    <xf numFmtId="0" fontId="0" fillId="0" borderId="36" xfId="0" applyBorder="1"/>
    <xf numFmtId="0" fontId="0" fillId="0" borderId="37" xfId="0" applyBorder="1"/>
    <xf numFmtId="0" fontId="0" fillId="0" borderId="47" xfId="0" applyBorder="1"/>
    <xf numFmtId="0" fontId="1" fillId="0" borderId="45" xfId="0" applyFont="1" applyBorder="1"/>
    <xf numFmtId="9" fontId="0" fillId="6" borderId="45" xfId="0" applyNumberFormat="1" applyFill="1" applyBorder="1"/>
    <xf numFmtId="9" fontId="0" fillId="6" borderId="45" xfId="1" applyFont="1" applyFill="1" applyBorder="1"/>
    <xf numFmtId="9" fontId="0" fillId="0" borderId="45" xfId="1" applyFont="1" applyBorder="1"/>
    <xf numFmtId="9" fontId="0" fillId="0" borderId="51" xfId="1" applyFont="1" applyBorder="1"/>
    <xf numFmtId="9" fontId="0" fillId="6" borderId="52" xfId="0" applyNumberFormat="1" applyFill="1" applyBorder="1"/>
    <xf numFmtId="9" fontId="0" fillId="0" borderId="19" xfId="0" applyNumberFormat="1" applyBorder="1"/>
    <xf numFmtId="9" fontId="0" fillId="0" borderId="34" xfId="0" applyNumberFormat="1" applyBorder="1"/>
    <xf numFmtId="9" fontId="0" fillId="6" borderId="34" xfId="0" applyNumberFormat="1" applyFill="1" applyBorder="1"/>
    <xf numFmtId="9" fontId="0" fillId="6" borderId="3" xfId="0" applyNumberFormat="1" applyFill="1" applyBorder="1"/>
    <xf numFmtId="0" fontId="0" fillId="5" borderId="15" xfId="0" applyFill="1" applyBorder="1"/>
    <xf numFmtId="0" fontId="4" fillId="0" borderId="28" xfId="0" applyFont="1" applyBorder="1" applyAlignment="1">
      <alignment wrapText="1"/>
    </xf>
    <xf numFmtId="0" fontId="4" fillId="0" borderId="2" xfId="0" applyFont="1" applyBorder="1"/>
    <xf numFmtId="9" fontId="4" fillId="0" borderId="2" xfId="0" applyNumberFormat="1" applyFont="1" applyBorder="1"/>
    <xf numFmtId="9" fontId="4" fillId="0" borderId="34" xfId="0" applyNumberFormat="1" applyFont="1" applyBorder="1"/>
    <xf numFmtId="9" fontId="0" fillId="8" borderId="52" xfId="0" applyNumberFormat="1" applyFill="1" applyBorder="1"/>
    <xf numFmtId="9" fontId="0" fillId="8" borderId="34" xfId="1" applyFont="1" applyFill="1" applyBorder="1"/>
    <xf numFmtId="9" fontId="0" fillId="8" borderId="34" xfId="0" applyNumberFormat="1" applyFill="1" applyBorder="1"/>
    <xf numFmtId="0" fontId="1" fillId="0" borderId="20" xfId="0" applyFont="1" applyBorder="1" applyAlignment="1">
      <alignment wrapText="1"/>
    </xf>
    <xf numFmtId="0" fontId="1" fillId="0" borderId="61" xfId="0" applyFont="1" applyBorder="1" applyAlignment="1">
      <alignment wrapText="1"/>
    </xf>
    <xf numFmtId="0" fontId="1" fillId="2" borderId="49" xfId="0" applyFont="1" applyFill="1" applyBorder="1" applyAlignment="1">
      <alignment wrapText="1"/>
    </xf>
    <xf numFmtId="0" fontId="1" fillId="0" borderId="62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1" fillId="0" borderId="63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1" fillId="2" borderId="46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62" xfId="0" applyBorder="1" applyAlignment="1">
      <alignment wrapText="1"/>
    </xf>
    <xf numFmtId="0" fontId="1" fillId="0" borderId="57" xfId="0" applyFont="1" applyBorder="1" applyAlignment="1">
      <alignment wrapText="1"/>
    </xf>
    <xf numFmtId="0" fontId="1" fillId="3" borderId="62" xfId="0" applyFont="1" applyFill="1" applyBorder="1" applyAlignment="1">
      <alignment wrapText="1"/>
    </xf>
    <xf numFmtId="0" fontId="1" fillId="0" borderId="46" xfId="0" applyFont="1" applyBorder="1"/>
    <xf numFmtId="0" fontId="1" fillId="0" borderId="38" xfId="0" applyFont="1" applyBorder="1"/>
    <xf numFmtId="0" fontId="1" fillId="3" borderId="38" xfId="0" applyFont="1" applyFill="1" applyBorder="1"/>
    <xf numFmtId="0" fontId="1" fillId="0" borderId="43" xfId="0" applyFont="1" applyBorder="1"/>
    <xf numFmtId="0" fontId="1" fillId="0" borderId="49" xfId="0" applyFont="1" applyBorder="1"/>
    <xf numFmtId="0" fontId="1" fillId="0" borderId="75" xfId="0" applyFont="1" applyBorder="1"/>
    <xf numFmtId="0" fontId="1" fillId="2" borderId="46" xfId="0" applyFont="1" applyFill="1" applyBorder="1"/>
    <xf numFmtId="0" fontId="1" fillId="0" borderId="8" xfId="0" applyFont="1" applyBorder="1"/>
    <xf numFmtId="0" fontId="1" fillId="0" borderId="20" xfId="0" applyFont="1" applyBorder="1"/>
    <xf numFmtId="0" fontId="1" fillId="2" borderId="49" xfId="0" applyFont="1" applyFill="1" applyBorder="1"/>
    <xf numFmtId="0" fontId="1" fillId="0" borderId="62" xfId="0" applyFont="1" applyBorder="1"/>
    <xf numFmtId="0" fontId="1" fillId="0" borderId="61" xfId="0" applyFont="1" applyBorder="1"/>
    <xf numFmtId="0" fontId="1" fillId="0" borderId="63" xfId="0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17" fontId="1" fillId="0" borderId="10" xfId="0" applyNumberFormat="1" applyFon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17" fontId="0" fillId="0" borderId="28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7" fontId="0" fillId="0" borderId="34" xfId="0" applyNumberFormat="1" applyBorder="1" applyAlignment="1">
      <alignment horizontal="center" vertical="center"/>
    </xf>
    <xf numFmtId="17" fontId="0" fillId="0" borderId="29" xfId="0" applyNumberForma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17" fontId="1" fillId="0" borderId="32" xfId="0" applyNumberFormat="1" applyFont="1" applyBorder="1" applyAlignment="1">
      <alignment horizontal="center" vertical="center"/>
    </xf>
    <xf numFmtId="17" fontId="1" fillId="0" borderId="33" xfId="0" applyNumberFormat="1" applyFont="1" applyBorder="1" applyAlignment="1">
      <alignment horizontal="center" vertical="center"/>
    </xf>
    <xf numFmtId="17" fontId="1" fillId="0" borderId="52" xfId="0" applyNumberFormat="1" applyFont="1" applyBorder="1" applyAlignment="1">
      <alignment horizontal="center" vertical="center"/>
    </xf>
    <xf numFmtId="17" fontId="1" fillId="0" borderId="60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6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9" fontId="0" fillId="0" borderId="31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2" fontId="1" fillId="0" borderId="67" xfId="0" applyNumberFormat="1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2" xfId="1" applyFont="1" applyBorder="1" applyAlignment="1">
      <alignment horizontal="center" vertical="center"/>
    </xf>
    <xf numFmtId="9" fontId="0" fillId="0" borderId="14" xfId="1" applyFont="1" applyBorder="1" applyAlignment="1">
      <alignment horizontal="center" vertical="center"/>
    </xf>
    <xf numFmtId="9" fontId="0" fillId="0" borderId="11" xfId="1" applyFont="1" applyBorder="1" applyAlignment="1">
      <alignment horizontal="center" vertical="center"/>
    </xf>
    <xf numFmtId="9" fontId="0" fillId="0" borderId="13" xfId="1" applyFont="1" applyBorder="1" applyAlignment="1">
      <alignment horizontal="center" vertical="center"/>
    </xf>
    <xf numFmtId="9" fontId="1" fillId="0" borderId="70" xfId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9" fontId="1" fillId="0" borderId="54" xfId="1" applyFont="1" applyBorder="1" applyAlignment="1">
      <alignment horizontal="center" vertical="center"/>
    </xf>
    <xf numFmtId="9" fontId="1" fillId="0" borderId="55" xfId="1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3" xfId="1" applyFont="1" applyBorder="1" applyAlignment="1">
      <alignment horizontal="center" vertical="center"/>
    </xf>
    <xf numFmtId="9" fontId="0" fillId="0" borderId="9" xfId="1" applyFont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9" fontId="1" fillId="0" borderId="67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9" fontId="1" fillId="0" borderId="53" xfId="1" applyFont="1" applyBorder="1" applyAlignment="1">
      <alignment horizontal="center" vertical="center"/>
    </xf>
    <xf numFmtId="9" fontId="1" fillId="0" borderId="66" xfId="1" applyFont="1" applyBorder="1" applyAlignment="1">
      <alignment horizontal="center" vertical="center"/>
    </xf>
    <xf numFmtId="9" fontId="1" fillId="0" borderId="67" xfId="0" applyNumberFormat="1" applyFont="1" applyBorder="1" applyAlignment="1">
      <alignment horizontal="center" vertical="center"/>
    </xf>
    <xf numFmtId="9" fontId="1" fillId="0" borderId="70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17" fontId="1" fillId="0" borderId="64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9" fontId="1" fillId="0" borderId="28" xfId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9" fontId="1" fillId="0" borderId="29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9" fontId="1" fillId="0" borderId="6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" fontId="1" fillId="0" borderId="81" xfId="0" applyNumberFormat="1" applyFont="1" applyBorder="1" applyAlignment="1">
      <alignment horizontal="center" vertical="center"/>
    </xf>
    <xf numFmtId="17" fontId="1" fillId="0" borderId="82" xfId="0" applyNumberFormat="1" applyFont="1" applyBorder="1" applyAlignment="1">
      <alignment horizontal="center" vertical="center"/>
    </xf>
    <xf numFmtId="17" fontId="1" fillId="0" borderId="83" xfId="0" applyNumberFormat="1" applyFont="1" applyBorder="1" applyAlignment="1">
      <alignment horizontal="center" vertical="center"/>
    </xf>
    <xf numFmtId="17" fontId="1" fillId="0" borderId="77" xfId="0" applyNumberFormat="1" applyFont="1" applyBorder="1" applyAlignment="1">
      <alignment horizontal="center" vertical="center"/>
    </xf>
    <xf numFmtId="17" fontId="0" fillId="0" borderId="53" xfId="0" applyNumberFormat="1" applyBorder="1" applyAlignment="1">
      <alignment horizontal="center" vertical="center"/>
    </xf>
    <xf numFmtId="17" fontId="0" fillId="0" borderId="54" xfId="0" applyNumberFormat="1" applyBorder="1" applyAlignment="1">
      <alignment horizontal="center" vertical="center"/>
    </xf>
    <xf numFmtId="17" fontId="0" fillId="0" borderId="66" xfId="0" applyNumberFormat="1" applyBorder="1" applyAlignment="1">
      <alignment horizontal="center" vertical="center"/>
    </xf>
    <xf numFmtId="17" fontId="0" fillId="0" borderId="55" xfId="0" applyNumberFormat="1" applyBorder="1" applyAlignment="1">
      <alignment horizontal="center" vertical="center"/>
    </xf>
    <xf numFmtId="1" fontId="0" fillId="0" borderId="30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1" fillId="0" borderId="69" xfId="0" applyNumberFormat="1" applyFont="1" applyBorder="1" applyAlignment="1">
      <alignment horizontal="center" vertical="center"/>
    </xf>
    <xf numFmtId="1" fontId="1" fillId="0" borderId="68" xfId="0" applyNumberFormat="1" applyFont="1" applyBorder="1" applyAlignment="1">
      <alignment horizontal="center" vertical="center"/>
    </xf>
    <xf numFmtId="1" fontId="1" fillId="0" borderId="50" xfId="0" applyNumberFormat="1" applyFont="1" applyBorder="1" applyAlignment="1">
      <alignment horizontal="center" vertical="center"/>
    </xf>
    <xf numFmtId="9" fontId="0" fillId="0" borderId="30" xfId="1" applyFont="1" applyBorder="1" applyAlignment="1">
      <alignment horizontal="center" vertical="center"/>
    </xf>
    <xf numFmtId="9" fontId="0" fillId="0" borderId="19" xfId="1" applyFont="1" applyBorder="1" applyAlignment="1">
      <alignment horizontal="center" vertical="center"/>
    </xf>
    <xf numFmtId="164" fontId="1" fillId="0" borderId="6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9" fontId="1" fillId="0" borderId="11" xfId="1" applyFont="1" applyBorder="1" applyAlignment="1">
      <alignment horizontal="center" vertical="center"/>
    </xf>
    <xf numFmtId="9" fontId="1" fillId="0" borderId="12" xfId="1" applyFont="1" applyBorder="1" applyAlignment="1">
      <alignment horizontal="center" vertical="center"/>
    </xf>
    <xf numFmtId="9" fontId="1" fillId="0" borderId="14" xfId="1" applyFont="1" applyBorder="1" applyAlignment="1">
      <alignment horizontal="center" vertical="center"/>
    </xf>
    <xf numFmtId="9" fontId="1" fillId="0" borderId="13" xfId="1" applyFont="1" applyBorder="1" applyAlignment="1">
      <alignment horizontal="center" vertical="center"/>
    </xf>
    <xf numFmtId="9" fontId="1" fillId="0" borderId="38" xfId="1" applyFont="1" applyBorder="1" applyAlignment="1">
      <alignment horizontal="center" vertical="center"/>
    </xf>
    <xf numFmtId="9" fontId="1" fillId="0" borderId="0" xfId="1" applyFont="1" applyBorder="1" applyAlignment="1">
      <alignment horizontal="center" vertical="center"/>
    </xf>
    <xf numFmtId="9" fontId="1" fillId="0" borderId="39" xfId="1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" fontId="1" fillId="0" borderId="40" xfId="0" applyNumberFormat="1" applyFont="1" applyBorder="1" applyAlignment="1">
      <alignment horizontal="center" vertical="center"/>
    </xf>
    <xf numFmtId="17" fontId="1" fillId="0" borderId="41" xfId="0" applyNumberFormat="1" applyFont="1" applyBorder="1" applyAlignment="1">
      <alignment horizontal="center" vertical="center"/>
    </xf>
    <xf numFmtId="17" fontId="1" fillId="0" borderId="42" xfId="0" applyNumberFormat="1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9" fontId="0" fillId="0" borderId="38" xfId="1" applyFont="1" applyBorder="1" applyAlignment="1">
      <alignment horizontal="center" vertical="center"/>
    </xf>
    <xf numFmtId="9" fontId="0" fillId="0" borderId="39" xfId="1" applyFont="1" applyBorder="1" applyAlignment="1">
      <alignment horizontal="center" vertical="center"/>
    </xf>
    <xf numFmtId="17" fontId="1" fillId="0" borderId="49" xfId="0" applyNumberFormat="1" applyFont="1" applyBorder="1" applyAlignment="1">
      <alignment horizontal="center" vertical="center"/>
    </xf>
    <xf numFmtId="17" fontId="1" fillId="0" borderId="74" xfId="0" applyNumberFormat="1" applyFont="1" applyBorder="1" applyAlignment="1">
      <alignment horizontal="center" vertical="center"/>
    </xf>
    <xf numFmtId="17" fontId="1" fillId="0" borderId="50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52" xfId="0" applyNumberFormat="1" applyFont="1" applyBorder="1" applyAlignment="1">
      <alignment horizontal="center" vertical="center"/>
    </xf>
    <xf numFmtId="164" fontId="1" fillId="0" borderId="60" xfId="0" applyNumberFormat="1" applyFont="1" applyBorder="1" applyAlignment="1">
      <alignment horizontal="center" vertical="center"/>
    </xf>
    <xf numFmtId="164" fontId="1" fillId="0" borderId="50" xfId="0" applyNumberFormat="1" applyFont="1" applyBorder="1" applyAlignment="1">
      <alignment horizontal="center" vertical="center"/>
    </xf>
    <xf numFmtId="0" fontId="1" fillId="2" borderId="20" xfId="0" applyFont="1" applyFill="1" applyBorder="1"/>
    <xf numFmtId="0" fontId="1" fillId="4" borderId="49" xfId="0" applyFont="1" applyFill="1" applyBorder="1"/>
    <xf numFmtId="0" fontId="0" fillId="0" borderId="62" xfId="0" applyBorder="1"/>
    <xf numFmtId="0" fontId="1" fillId="3" borderId="62" xfId="0" applyFont="1" applyFill="1" applyBorder="1"/>
    <xf numFmtId="0" fontId="1" fillId="3" borderId="61" xfId="0" applyFont="1" applyFill="1" applyBorder="1"/>
    <xf numFmtId="0" fontId="1" fillId="0" borderId="30" xfId="0" applyFont="1" applyBorder="1" applyAlignment="1">
      <alignment horizontal="center" vertical="center" wrapText="1"/>
    </xf>
    <xf numFmtId="17" fontId="1" fillId="0" borderId="30" xfId="0" applyNumberFormat="1" applyFont="1" applyBorder="1" applyAlignment="1">
      <alignment horizontal="center" vertic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19" xfId="0" applyNumberFormat="1" applyFon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1" fillId="0" borderId="67" xfId="0" applyNumberFormat="1" applyFont="1" applyBorder="1" applyAlignment="1">
      <alignment horizontal="center" vertical="center"/>
    </xf>
    <xf numFmtId="1" fontId="0" fillId="0" borderId="9" xfId="1" applyNumberFormat="1" applyFont="1" applyBorder="1" applyAlignment="1">
      <alignment horizontal="center" vertical="center"/>
    </xf>
    <xf numFmtId="1" fontId="0" fillId="0" borderId="28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64" fontId="0" fillId="0" borderId="30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1" fillId="0" borderId="69" xfId="0" applyNumberFormat="1" applyFon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4" xfId="0" applyNumberFormat="1" applyBorder="1" applyAlignment="1">
      <alignment horizontal="center" vertical="center"/>
    </xf>
    <xf numFmtId="164" fontId="1" fillId="0" borderId="68" xfId="0" applyNumberFormat="1" applyFont="1" applyBorder="1" applyAlignment="1">
      <alignment horizontal="center" vertical="center"/>
    </xf>
    <xf numFmtId="9" fontId="1" fillId="0" borderId="69" xfId="0" applyNumberFormat="1" applyFont="1" applyBorder="1" applyAlignment="1">
      <alignment horizontal="center" vertical="center"/>
    </xf>
    <xf numFmtId="9" fontId="1" fillId="0" borderId="34" xfId="1" applyFont="1" applyBorder="1" applyAlignment="1">
      <alignment horizontal="center" vertical="center"/>
    </xf>
    <xf numFmtId="17" fontId="1" fillId="0" borderId="31" xfId="0" applyNumberFormat="1" applyFon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17" fontId="1" fillId="0" borderId="35" xfId="0" applyNumberFormat="1" applyFont="1" applyBorder="1" applyAlignment="1">
      <alignment horizontal="center" vertical="center"/>
    </xf>
    <xf numFmtId="17" fontId="1" fillId="0" borderId="36" xfId="0" applyNumberFormat="1" applyFont="1" applyBorder="1" applyAlignment="1">
      <alignment horizontal="center" vertical="center"/>
    </xf>
    <xf numFmtId="17" fontId="1" fillId="0" borderId="56" xfId="0" applyNumberFormat="1" applyFont="1" applyBorder="1" applyAlignment="1">
      <alignment horizontal="center" vertical="center"/>
    </xf>
    <xf numFmtId="17" fontId="1" fillId="0" borderId="37" xfId="0" applyNumberFormat="1" applyFont="1" applyBorder="1" applyAlignment="1">
      <alignment horizontal="center" vertical="center"/>
    </xf>
    <xf numFmtId="9" fontId="1" fillId="0" borderId="69" xfId="1" applyFont="1" applyBorder="1" applyAlignment="1">
      <alignment horizontal="center" vertical="center"/>
    </xf>
    <xf numFmtId="0" fontId="1" fillId="0" borderId="70" xfId="0" applyFont="1" applyBorder="1" applyAlignment="1">
      <alignment horizontal="center" vertical="center"/>
    </xf>
    <xf numFmtId="9" fontId="1" fillId="0" borderId="30" xfId="1" applyFont="1" applyBorder="1" applyAlignment="1">
      <alignment horizontal="center" vertical="center"/>
    </xf>
    <xf numFmtId="9" fontId="1" fillId="0" borderId="4" xfId="1" applyFont="1" applyBorder="1" applyAlignment="1">
      <alignment horizontal="center" vertical="center"/>
    </xf>
    <xf numFmtId="9" fontId="1" fillId="0" borderId="19" xfId="1" applyFont="1" applyBorder="1" applyAlignment="1">
      <alignment horizontal="center" vertical="center"/>
    </xf>
    <xf numFmtId="9" fontId="0" fillId="0" borderId="28" xfId="1" applyFont="1" applyBorder="1" applyAlignment="1">
      <alignment horizontal="center" vertical="center"/>
    </xf>
    <xf numFmtId="9" fontId="0" fillId="0" borderId="2" xfId="1" applyFon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1" fillId="0" borderId="70" xfId="0" applyNumberFormat="1" applyFont="1" applyBorder="1" applyAlignment="1">
      <alignment horizontal="center" vertical="center"/>
    </xf>
    <xf numFmtId="9" fontId="0" fillId="0" borderId="30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 vertical="center"/>
    </xf>
    <xf numFmtId="9" fontId="0" fillId="0" borderId="31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4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9" fontId="1" fillId="0" borderId="68" xfId="0" applyNumberFormat="1" applyFont="1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164" fontId="0" fillId="0" borderId="81" xfId="0" applyNumberFormat="1" applyBorder="1" applyAlignment="1">
      <alignment horizontal="center" vertical="center"/>
    </xf>
    <xf numFmtId="164" fontId="0" fillId="0" borderId="82" xfId="0" applyNumberFormat="1" applyBorder="1" applyAlignment="1">
      <alignment horizontal="center" vertical="center"/>
    </xf>
    <xf numFmtId="164" fontId="0" fillId="0" borderId="83" xfId="0" applyNumberFormat="1" applyBorder="1" applyAlignment="1">
      <alignment horizontal="center" vertical="center"/>
    </xf>
    <xf numFmtId="164" fontId="0" fillId="0" borderId="77" xfId="0" applyNumberFormat="1" applyBorder="1" applyAlignment="1">
      <alignment horizontal="center" vertical="center"/>
    </xf>
    <xf numFmtId="164" fontId="1" fillId="0" borderId="44" xfId="0" applyNumberFormat="1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1" fontId="0" fillId="0" borderId="53" xfId="0" applyNumberFormat="1" applyBorder="1" applyAlignment="1">
      <alignment horizontal="center" vertical="center"/>
    </xf>
    <xf numFmtId="1" fontId="0" fillId="0" borderId="54" xfId="0" applyNumberFormat="1" applyBorder="1" applyAlignment="1">
      <alignment horizontal="center" vertical="center"/>
    </xf>
    <xf numFmtId="1" fontId="0" fillId="0" borderId="66" xfId="0" applyNumberFormat="1" applyBorder="1" applyAlignment="1">
      <alignment horizontal="center" vertical="center"/>
    </xf>
    <xf numFmtId="17" fontId="1" fillId="0" borderId="16" xfId="0" applyNumberFormat="1" applyFont="1" applyBorder="1" applyAlignment="1">
      <alignment horizontal="center" vertical="center"/>
    </xf>
    <xf numFmtId="17" fontId="1" fillId="0" borderId="65" xfId="0" applyNumberFormat="1" applyFont="1" applyBorder="1" applyAlignment="1">
      <alignment horizontal="center" vertical="center"/>
    </xf>
    <xf numFmtId="17" fontId="1" fillId="0" borderId="72" xfId="0" applyNumberFormat="1" applyFon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56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9" fontId="0" fillId="0" borderId="53" xfId="1" applyFont="1" applyBorder="1" applyAlignment="1">
      <alignment horizontal="center" vertical="center"/>
    </xf>
    <xf numFmtId="9" fontId="0" fillId="0" borderId="54" xfId="1" applyFont="1" applyBorder="1" applyAlignment="1">
      <alignment horizontal="center" vertical="center"/>
    </xf>
    <xf numFmtId="9" fontId="0" fillId="0" borderId="66" xfId="1" applyFon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17" fontId="1" fillId="0" borderId="53" xfId="0" applyNumberFormat="1" applyFont="1" applyBorder="1" applyAlignment="1">
      <alignment horizontal="center" vertical="center"/>
    </xf>
    <xf numFmtId="17" fontId="1" fillId="0" borderId="54" xfId="0" applyNumberFormat="1" applyFont="1" applyBorder="1" applyAlignment="1">
      <alignment horizontal="center" vertical="center"/>
    </xf>
    <xf numFmtId="17" fontId="1" fillId="0" borderId="66" xfId="0" applyNumberFormat="1" applyFont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9" fontId="0" fillId="0" borderId="35" xfId="1" applyFont="1" applyBorder="1" applyAlignment="1">
      <alignment horizontal="center" vertical="center"/>
    </xf>
    <xf numFmtId="9" fontId="0" fillId="0" borderId="36" xfId="1" applyFont="1" applyBorder="1" applyAlignment="1">
      <alignment horizontal="center" vertical="center"/>
    </xf>
    <xf numFmtId="9" fontId="0" fillId="0" borderId="56" xfId="1" applyFont="1" applyBorder="1" applyAlignment="1">
      <alignment horizontal="center" vertical="center"/>
    </xf>
    <xf numFmtId="9" fontId="1" fillId="0" borderId="35" xfId="1" applyFont="1" applyBorder="1" applyAlignment="1">
      <alignment horizontal="center" vertical="center"/>
    </xf>
    <xf numFmtId="9" fontId="1" fillId="0" borderId="9" xfId="1" applyFont="1" applyBorder="1" applyAlignment="1">
      <alignment horizontal="center" vertical="center"/>
    </xf>
    <xf numFmtId="9" fontId="0" fillId="0" borderId="7" xfId="0" applyNumberForma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9" fontId="0" fillId="0" borderId="7" xfId="1" applyFont="1" applyBorder="1" applyAlignment="1">
      <alignment horizontal="center" vertical="center"/>
    </xf>
    <xf numFmtId="9" fontId="1" fillId="0" borderId="59" xfId="1" applyFont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17" fontId="1" fillId="0" borderId="85" xfId="0" applyNumberFormat="1" applyFont="1" applyBorder="1" applyAlignment="1">
      <alignment horizontal="center" vertical="center"/>
    </xf>
    <xf numFmtId="164" fontId="1" fillId="0" borderId="81" xfId="0" applyNumberFormat="1" applyFont="1" applyBorder="1" applyAlignment="1">
      <alignment horizontal="center" vertical="center"/>
    </xf>
    <xf numFmtId="164" fontId="1" fillId="0" borderId="82" xfId="0" applyNumberFormat="1" applyFont="1" applyBorder="1" applyAlignment="1">
      <alignment horizontal="center" vertical="center"/>
    </xf>
    <xf numFmtId="164" fontId="1" fillId="0" borderId="83" xfId="0" applyNumberFormat="1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9" fontId="0" fillId="0" borderId="34" xfId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59" xfId="0" applyNumberFormat="1" applyFont="1" applyBorder="1" applyAlignment="1">
      <alignment horizontal="center" vertical="center"/>
    </xf>
    <xf numFmtId="164" fontId="1" fillId="0" borderId="59" xfId="0" applyNumberFormat="1" applyFont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 vertical="center"/>
    </xf>
    <xf numFmtId="1" fontId="1" fillId="0" borderId="58" xfId="0" applyNumberFormat="1" applyFont="1" applyBorder="1" applyAlignment="1">
      <alignment horizontal="center" vertical="center"/>
    </xf>
    <xf numFmtId="1" fontId="1" fillId="0" borderId="84" xfId="0" applyNumberFormat="1" applyFont="1" applyBorder="1" applyAlignment="1">
      <alignment horizontal="center" vertical="center"/>
    </xf>
    <xf numFmtId="164" fontId="1" fillId="0" borderId="57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/>
    </xf>
    <xf numFmtId="164" fontId="1" fillId="0" borderId="85" xfId="0" applyNumberFormat="1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0" fillId="0" borderId="69" xfId="0" applyBorder="1"/>
    <xf numFmtId="164" fontId="1" fillId="0" borderId="13" xfId="0" applyNumberFormat="1" applyFont="1" applyBorder="1" applyAlignment="1">
      <alignment horizontal="center" vertical="center"/>
    </xf>
    <xf numFmtId="0" fontId="0" fillId="0" borderId="57" xfId="0" applyBorder="1"/>
    <xf numFmtId="0" fontId="1" fillId="0" borderId="6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E5A8A-6BDA-4508-83D8-2064F532A7AE}">
  <dimension ref="A1:K213"/>
  <sheetViews>
    <sheetView tabSelected="1" zoomScale="90" zoomScaleNormal="90" workbookViewId="0">
      <pane xSplit="1" topLeftCell="B1" activePane="topRight" state="frozen"/>
      <selection pane="topRight" activeCell="H6" sqref="H6"/>
    </sheetView>
  </sheetViews>
  <sheetFormatPr baseColWidth="10" defaultColWidth="8.83203125" defaultRowHeight="15" x14ac:dyDescent="0.2"/>
  <cols>
    <col min="1" max="1" width="35.6640625" bestFit="1" customWidth="1"/>
    <col min="5" max="5" width="10.33203125" style="1" bestFit="1" customWidth="1"/>
    <col min="8" max="8" width="9.1640625" style="1"/>
    <col min="12" max="12" width="9.5" bestFit="1" customWidth="1"/>
  </cols>
  <sheetData>
    <row r="1" spans="1:11" x14ac:dyDescent="0.2">
      <c r="A1" s="99" t="s">
        <v>0</v>
      </c>
      <c r="B1" s="407">
        <v>2026</v>
      </c>
      <c r="C1" s="408"/>
      <c r="D1" s="408"/>
      <c r="E1" s="408"/>
      <c r="F1" s="408"/>
      <c r="G1" s="408"/>
      <c r="H1" s="408"/>
      <c r="I1" s="336"/>
    </row>
    <row r="2" spans="1:11" x14ac:dyDescent="0.2">
      <c r="A2" s="96" t="s">
        <v>1</v>
      </c>
      <c r="B2" s="407" t="s">
        <v>2</v>
      </c>
      <c r="C2" s="408"/>
      <c r="D2" s="409"/>
      <c r="E2" s="407" t="s">
        <v>3</v>
      </c>
      <c r="F2" s="408"/>
      <c r="G2" s="409"/>
      <c r="H2" s="398" t="s">
        <v>4</v>
      </c>
      <c r="I2" s="337"/>
    </row>
    <row r="3" spans="1:11" x14ac:dyDescent="0.2">
      <c r="A3" s="99" t="s">
        <v>6</v>
      </c>
      <c r="B3" s="120">
        <v>46023</v>
      </c>
      <c r="C3" s="120">
        <v>46054</v>
      </c>
      <c r="D3" s="120">
        <v>46082</v>
      </c>
      <c r="E3" s="120">
        <v>46113</v>
      </c>
      <c r="F3" s="120">
        <v>46143</v>
      </c>
      <c r="G3" s="120">
        <v>46174</v>
      </c>
      <c r="H3" s="120">
        <v>46204</v>
      </c>
      <c r="I3" s="199" t="s">
        <v>7</v>
      </c>
    </row>
    <row r="4" spans="1:11" x14ac:dyDescent="0.2">
      <c r="A4" s="96" t="s">
        <v>8</v>
      </c>
      <c r="B4" s="338">
        <v>111</v>
      </c>
      <c r="C4" s="339">
        <v>100</v>
      </c>
      <c r="D4" s="340">
        <v>156</v>
      </c>
      <c r="E4" s="338">
        <v>136</v>
      </c>
      <c r="F4" s="339">
        <v>135</v>
      </c>
      <c r="G4" s="340">
        <v>150</v>
      </c>
      <c r="H4" s="338">
        <v>178</v>
      </c>
      <c r="I4" s="388">
        <f>SUM(B4:H4)</f>
        <v>966</v>
      </c>
    </row>
    <row r="5" spans="1:11" x14ac:dyDescent="0.2">
      <c r="A5" s="101" t="s">
        <v>9</v>
      </c>
      <c r="B5" s="120">
        <v>46023</v>
      </c>
      <c r="C5" s="120">
        <v>46054</v>
      </c>
      <c r="D5" s="120">
        <v>46082</v>
      </c>
      <c r="E5" s="120">
        <v>46113</v>
      </c>
      <c r="F5" s="120">
        <v>46143</v>
      </c>
      <c r="G5" s="120">
        <v>46174</v>
      </c>
      <c r="H5" s="120">
        <v>46204</v>
      </c>
      <c r="I5" s="199" t="s">
        <v>7</v>
      </c>
    </row>
    <row r="6" spans="1:11" x14ac:dyDescent="0.2">
      <c r="A6" s="102" t="s">
        <v>10</v>
      </c>
      <c r="B6" s="344">
        <v>31</v>
      </c>
      <c r="C6" s="345">
        <v>28</v>
      </c>
      <c r="D6" s="346">
        <v>31</v>
      </c>
      <c r="E6" s="347">
        <v>29</v>
      </c>
      <c r="F6" s="348">
        <v>31</v>
      </c>
      <c r="G6" s="349">
        <v>30</v>
      </c>
      <c r="H6" s="347">
        <v>30</v>
      </c>
      <c r="I6" s="208">
        <f>SUM(B6:H6)</f>
        <v>210</v>
      </c>
    </row>
    <row r="7" spans="1:11" x14ac:dyDescent="0.2">
      <c r="A7" s="103" t="s">
        <v>11</v>
      </c>
      <c r="B7" s="146">
        <v>476</v>
      </c>
      <c r="C7" s="109">
        <v>466</v>
      </c>
      <c r="D7" s="147">
        <v>682</v>
      </c>
      <c r="E7" s="146">
        <v>554</v>
      </c>
      <c r="F7" s="109">
        <v>548</v>
      </c>
      <c r="G7" s="147">
        <v>618</v>
      </c>
      <c r="H7" s="146">
        <v>653</v>
      </c>
      <c r="I7" s="197">
        <f>SUM(B7:H7)</f>
        <v>3997</v>
      </c>
    </row>
    <row r="8" spans="1:11" x14ac:dyDescent="0.2">
      <c r="A8" s="103" t="s">
        <v>12</v>
      </c>
      <c r="B8" s="146">
        <v>635</v>
      </c>
      <c r="C8" s="109">
        <v>562</v>
      </c>
      <c r="D8" s="147">
        <v>899</v>
      </c>
      <c r="E8" s="280">
        <v>762</v>
      </c>
      <c r="F8" s="109">
        <v>730</v>
      </c>
      <c r="G8" s="147">
        <v>805</v>
      </c>
      <c r="H8" s="146">
        <v>860</v>
      </c>
      <c r="I8" s="197">
        <f>SUM(B8:H8)</f>
        <v>5253</v>
      </c>
    </row>
    <row r="9" spans="1:11" x14ac:dyDescent="0.2">
      <c r="A9" s="106" t="s">
        <v>13</v>
      </c>
      <c r="B9" s="281">
        <f t="shared" ref="B9:H9" si="0">B$8-B$22</f>
        <v>53</v>
      </c>
      <c r="C9" s="282">
        <f t="shared" si="0"/>
        <v>53</v>
      </c>
      <c r="D9" s="283">
        <f t="shared" si="0"/>
        <v>84</v>
      </c>
      <c r="E9" s="281">
        <f t="shared" si="0"/>
        <v>41</v>
      </c>
      <c r="F9" s="282">
        <f t="shared" si="0"/>
        <v>0</v>
      </c>
      <c r="G9" s="283">
        <f t="shared" si="0"/>
        <v>52</v>
      </c>
      <c r="H9" s="281">
        <f t="shared" si="0"/>
        <v>-14</v>
      </c>
      <c r="I9" s="387">
        <f>SUM(B9:H9)</f>
        <v>269</v>
      </c>
      <c r="K9" s="2"/>
    </row>
    <row r="10" spans="1:11" x14ac:dyDescent="0.2">
      <c r="A10" s="99" t="s">
        <v>14</v>
      </c>
      <c r="B10" s="120">
        <v>46023</v>
      </c>
      <c r="C10" s="120">
        <v>46054</v>
      </c>
      <c r="D10" s="120">
        <v>46082</v>
      </c>
      <c r="E10" s="120">
        <v>46113</v>
      </c>
      <c r="F10" s="120">
        <v>46143</v>
      </c>
      <c r="G10" s="120">
        <v>46174</v>
      </c>
      <c r="H10" s="120">
        <v>46204</v>
      </c>
      <c r="I10" s="199"/>
    </row>
    <row r="11" spans="1:11" x14ac:dyDescent="0.2">
      <c r="A11" s="105" t="s">
        <v>15</v>
      </c>
      <c r="B11" s="284">
        <f t="shared" ref="B11:H11" si="1">B7/B6</f>
        <v>15.35483870967742</v>
      </c>
      <c r="C11" s="285">
        <f t="shared" si="1"/>
        <v>16.642857142857142</v>
      </c>
      <c r="D11" s="286">
        <f t="shared" si="1"/>
        <v>22</v>
      </c>
      <c r="E11" s="284">
        <f t="shared" si="1"/>
        <v>19.103448275862068</v>
      </c>
      <c r="F11" s="285">
        <f t="shared" si="1"/>
        <v>17.677419354838708</v>
      </c>
      <c r="G11" s="286">
        <f t="shared" si="1"/>
        <v>20.6</v>
      </c>
      <c r="H11" s="284">
        <f t="shared" si="1"/>
        <v>21.766666666666666</v>
      </c>
      <c r="I11" s="385">
        <f>SUM(B11:H11)/12</f>
        <v>11.095435845825165</v>
      </c>
    </row>
    <row r="12" spans="1:11" x14ac:dyDescent="0.2">
      <c r="A12" s="106" t="s">
        <v>16</v>
      </c>
      <c r="B12" s="288">
        <f t="shared" ref="B12:H12" si="2">B4/B6</f>
        <v>3.5806451612903225</v>
      </c>
      <c r="C12" s="289">
        <f t="shared" si="2"/>
        <v>3.5714285714285716</v>
      </c>
      <c r="D12" s="290">
        <f t="shared" si="2"/>
        <v>5.032258064516129</v>
      </c>
      <c r="E12" s="288">
        <f t="shared" si="2"/>
        <v>4.6896551724137927</v>
      </c>
      <c r="F12" s="289">
        <f t="shared" si="2"/>
        <v>4.354838709677419</v>
      </c>
      <c r="G12" s="290">
        <f t="shared" si="2"/>
        <v>5</v>
      </c>
      <c r="H12" s="288">
        <f t="shared" si="2"/>
        <v>5.9333333333333336</v>
      </c>
      <c r="I12" s="386">
        <f>SUM(B12:H12)/12</f>
        <v>2.680179917721631</v>
      </c>
    </row>
    <row r="13" spans="1:11" x14ac:dyDescent="0.2">
      <c r="A13" s="99" t="s">
        <v>17</v>
      </c>
      <c r="B13" s="120">
        <v>46023</v>
      </c>
      <c r="C13" s="120">
        <v>46054</v>
      </c>
      <c r="D13" s="120">
        <v>46082</v>
      </c>
      <c r="E13" s="120">
        <v>46113</v>
      </c>
      <c r="F13" s="120">
        <v>46143</v>
      </c>
      <c r="G13" s="120">
        <v>46174</v>
      </c>
      <c r="H13" s="120">
        <v>46204</v>
      </c>
      <c r="I13" s="336"/>
    </row>
    <row r="14" spans="1:11" x14ac:dyDescent="0.2">
      <c r="A14" s="105" t="s">
        <v>18</v>
      </c>
      <c r="B14" s="229">
        <f t="shared" ref="B14:H14" si="3">B7/B8</f>
        <v>0.74960629921259847</v>
      </c>
      <c r="C14" s="144">
        <f t="shared" si="3"/>
        <v>0.8291814946619217</v>
      </c>
      <c r="D14" s="230">
        <f t="shared" si="3"/>
        <v>0.75862068965517238</v>
      </c>
      <c r="E14" s="229">
        <f t="shared" si="3"/>
        <v>0.72703412073490814</v>
      </c>
      <c r="F14" s="144">
        <f t="shared" si="3"/>
        <v>0.75068493150684934</v>
      </c>
      <c r="G14" s="230">
        <f t="shared" si="3"/>
        <v>0.76770186335403723</v>
      </c>
      <c r="H14" s="229">
        <f t="shared" si="3"/>
        <v>0.75930232558139532</v>
      </c>
      <c r="I14" s="384">
        <f>I7/I8</f>
        <v>0.76089853417094988</v>
      </c>
    </row>
    <row r="15" spans="1:11" x14ac:dyDescent="0.2">
      <c r="A15" s="107" t="s">
        <v>13</v>
      </c>
      <c r="B15" s="160">
        <f t="shared" ref="B15:H15" si="4">B9/B8</f>
        <v>8.3464566929133857E-2</v>
      </c>
      <c r="C15" s="158">
        <f t="shared" si="4"/>
        <v>9.4306049822064059E-2</v>
      </c>
      <c r="D15" s="159">
        <f t="shared" si="4"/>
        <v>9.3437152391546166E-2</v>
      </c>
      <c r="E15" s="160">
        <f t="shared" si="4"/>
        <v>5.3805774278215222E-2</v>
      </c>
      <c r="F15" s="158">
        <f t="shared" si="4"/>
        <v>0</v>
      </c>
      <c r="G15" s="159">
        <f t="shared" si="4"/>
        <v>6.4596273291925466E-2</v>
      </c>
      <c r="H15" s="160">
        <f t="shared" si="4"/>
        <v>-1.627906976744186E-2</v>
      </c>
      <c r="I15" s="383">
        <f>I9/I8</f>
        <v>5.1208833047782218E-2</v>
      </c>
    </row>
    <row r="16" spans="1:11" x14ac:dyDescent="0.2">
      <c r="A16" s="96"/>
      <c r="B16" s="352"/>
      <c r="C16" s="353"/>
      <c r="D16" s="354"/>
      <c r="E16" s="163"/>
      <c r="F16" s="164"/>
      <c r="G16" s="165"/>
      <c r="H16" s="401"/>
      <c r="I16" s="337"/>
    </row>
    <row r="17" spans="1:9" x14ac:dyDescent="0.2">
      <c r="A17" s="99" t="s">
        <v>19</v>
      </c>
      <c r="B17" s="120">
        <v>46023</v>
      </c>
      <c r="C17" s="120">
        <v>46054</v>
      </c>
      <c r="D17" s="120">
        <v>46082</v>
      </c>
      <c r="E17" s="120">
        <v>46113</v>
      </c>
      <c r="F17" s="120">
        <v>46143</v>
      </c>
      <c r="G17" s="120">
        <v>46174</v>
      </c>
      <c r="H17" s="120">
        <v>46204</v>
      </c>
      <c r="I17" s="199" t="s">
        <v>7</v>
      </c>
    </row>
    <row r="18" spans="1:9" x14ac:dyDescent="0.2">
      <c r="A18" s="105" t="s">
        <v>20</v>
      </c>
      <c r="B18" s="347">
        <v>174</v>
      </c>
      <c r="C18" s="348">
        <v>104</v>
      </c>
      <c r="D18" s="349">
        <v>207</v>
      </c>
      <c r="E18" s="347">
        <v>188</v>
      </c>
      <c r="F18" s="348">
        <v>142</v>
      </c>
      <c r="G18" s="349">
        <v>157</v>
      </c>
      <c r="H18" s="347">
        <v>199</v>
      </c>
      <c r="I18" s="209">
        <f>SUM(B18:H18)</f>
        <v>1171</v>
      </c>
    </row>
    <row r="19" spans="1:9" x14ac:dyDescent="0.2">
      <c r="A19" s="103" t="s">
        <v>21</v>
      </c>
      <c r="B19" s="146">
        <v>78</v>
      </c>
      <c r="C19" s="109">
        <v>84</v>
      </c>
      <c r="D19" s="147">
        <v>135</v>
      </c>
      <c r="E19" s="146">
        <v>111</v>
      </c>
      <c r="F19" s="109">
        <v>221</v>
      </c>
      <c r="G19" s="147">
        <v>288</v>
      </c>
      <c r="H19" s="146">
        <v>237</v>
      </c>
      <c r="I19" s="214">
        <f>SUM(B19:H19)</f>
        <v>1154</v>
      </c>
    </row>
    <row r="20" spans="1:9" x14ac:dyDescent="0.2">
      <c r="A20" s="103" t="s">
        <v>22</v>
      </c>
      <c r="B20" s="146">
        <v>279</v>
      </c>
      <c r="C20" s="109">
        <v>275</v>
      </c>
      <c r="D20" s="147">
        <v>424</v>
      </c>
      <c r="E20" s="146">
        <v>382</v>
      </c>
      <c r="F20" s="109">
        <v>333</v>
      </c>
      <c r="G20" s="147">
        <v>273</v>
      </c>
      <c r="H20" s="146">
        <v>399</v>
      </c>
      <c r="I20" s="214">
        <f>SUM(B20:H20)</f>
        <v>2365</v>
      </c>
    </row>
    <row r="21" spans="1:9" x14ac:dyDescent="0.2">
      <c r="A21" s="106" t="s">
        <v>23</v>
      </c>
      <c r="B21" s="129">
        <v>51</v>
      </c>
      <c r="C21" s="130">
        <v>46</v>
      </c>
      <c r="D21" s="131">
        <v>49</v>
      </c>
      <c r="E21" s="129">
        <v>40</v>
      </c>
      <c r="F21" s="130">
        <v>34</v>
      </c>
      <c r="G21" s="131">
        <v>35</v>
      </c>
      <c r="H21" s="129">
        <v>39</v>
      </c>
      <c r="I21" s="355">
        <f>SUM(B21:H21)</f>
        <v>294</v>
      </c>
    </row>
    <row r="22" spans="1:9" x14ac:dyDescent="0.2">
      <c r="A22" s="99" t="s">
        <v>24</v>
      </c>
      <c r="B22" s="139">
        <f t="shared" ref="B22:H22" si="5">SUM(B18:B21)</f>
        <v>582</v>
      </c>
      <c r="C22" s="137">
        <f t="shared" si="5"/>
        <v>509</v>
      </c>
      <c r="D22" s="138">
        <f t="shared" si="5"/>
        <v>815</v>
      </c>
      <c r="E22" s="139">
        <f t="shared" si="5"/>
        <v>721</v>
      </c>
      <c r="F22" s="137">
        <f t="shared" si="5"/>
        <v>730</v>
      </c>
      <c r="G22" s="138">
        <f t="shared" si="5"/>
        <v>753</v>
      </c>
      <c r="H22" s="139">
        <f t="shared" si="5"/>
        <v>874</v>
      </c>
      <c r="I22" s="199">
        <f>SUM(B22:H22)</f>
        <v>4984</v>
      </c>
    </row>
    <row r="23" spans="1:9" x14ac:dyDescent="0.2">
      <c r="A23" s="98" t="s">
        <v>17</v>
      </c>
      <c r="B23" s="120">
        <v>46023</v>
      </c>
      <c r="C23" s="120">
        <v>46054</v>
      </c>
      <c r="D23" s="120">
        <v>46082</v>
      </c>
      <c r="E23" s="120">
        <v>46113</v>
      </c>
      <c r="F23" s="120">
        <v>46143</v>
      </c>
      <c r="G23" s="120">
        <v>46174</v>
      </c>
      <c r="H23" s="120">
        <v>46204</v>
      </c>
      <c r="I23" s="359"/>
    </row>
    <row r="24" spans="1:9" x14ac:dyDescent="0.2">
      <c r="A24" s="105" t="s">
        <v>20</v>
      </c>
      <c r="B24" s="360">
        <f t="shared" ref="B24:H27" si="6">B18/B$22</f>
        <v>0.29896907216494845</v>
      </c>
      <c r="C24" s="361">
        <f t="shared" si="6"/>
        <v>0.20432220039292731</v>
      </c>
      <c r="D24" s="362">
        <f t="shared" si="6"/>
        <v>0.25398773006134967</v>
      </c>
      <c r="E24" s="360">
        <f t="shared" si="6"/>
        <v>0.26074895977808599</v>
      </c>
      <c r="F24" s="361">
        <f t="shared" si="6"/>
        <v>0.19452054794520549</v>
      </c>
      <c r="G24" s="362">
        <f t="shared" si="6"/>
        <v>0.20849933598937584</v>
      </c>
      <c r="H24" s="360">
        <f t="shared" si="6"/>
        <v>0.22768878718535468</v>
      </c>
      <c r="I24" s="384">
        <f>I18/$I$22</f>
        <v>0.23495184590690207</v>
      </c>
    </row>
    <row r="25" spans="1:9" x14ac:dyDescent="0.2">
      <c r="A25" s="103" t="s">
        <v>21</v>
      </c>
      <c r="B25" s="172">
        <f t="shared" si="6"/>
        <v>0.13402061855670103</v>
      </c>
      <c r="C25" s="170">
        <f t="shared" si="6"/>
        <v>0.16502946954813361</v>
      </c>
      <c r="D25" s="171">
        <f t="shared" si="6"/>
        <v>0.16564417177914109</v>
      </c>
      <c r="E25" s="172">
        <f t="shared" si="6"/>
        <v>0.15395284327323161</v>
      </c>
      <c r="F25" s="170">
        <f t="shared" si="6"/>
        <v>0.30273972602739724</v>
      </c>
      <c r="G25" s="171">
        <f t="shared" si="6"/>
        <v>0.38247011952191234</v>
      </c>
      <c r="H25" s="172">
        <f t="shared" si="6"/>
        <v>0.27116704805491992</v>
      </c>
      <c r="I25" s="384">
        <f>I19/$I$22</f>
        <v>0.23154093097913322</v>
      </c>
    </row>
    <row r="26" spans="1:9" x14ac:dyDescent="0.2">
      <c r="A26" s="103" t="s">
        <v>22</v>
      </c>
      <c r="B26" s="172">
        <f t="shared" si="6"/>
        <v>0.47938144329896909</v>
      </c>
      <c r="C26" s="170">
        <f t="shared" si="6"/>
        <v>0.54027504911591351</v>
      </c>
      <c r="D26" s="171">
        <f t="shared" si="6"/>
        <v>0.52024539877300613</v>
      </c>
      <c r="E26" s="172">
        <f t="shared" si="6"/>
        <v>0.52981969486823854</v>
      </c>
      <c r="F26" s="170">
        <f t="shared" si="6"/>
        <v>0.45616438356164385</v>
      </c>
      <c r="G26" s="171">
        <f t="shared" si="6"/>
        <v>0.36254980079681276</v>
      </c>
      <c r="H26" s="172">
        <f t="shared" si="6"/>
        <v>0.45652173913043476</v>
      </c>
      <c r="I26" s="384">
        <f t="shared" ref="I26:I27" si="7">I20/$I$22</f>
        <v>0.47451845906902085</v>
      </c>
    </row>
    <row r="27" spans="1:9" x14ac:dyDescent="0.2">
      <c r="A27" s="107" t="s">
        <v>23</v>
      </c>
      <c r="B27" s="160">
        <f t="shared" si="6"/>
        <v>8.7628865979381437E-2</v>
      </c>
      <c r="C27" s="158">
        <f t="shared" si="6"/>
        <v>9.0373280943025547E-2</v>
      </c>
      <c r="D27" s="159">
        <f t="shared" si="6"/>
        <v>6.0122699386503067E-2</v>
      </c>
      <c r="E27" s="160">
        <f t="shared" si="6"/>
        <v>5.5478502080443831E-2</v>
      </c>
      <c r="F27" s="158">
        <f t="shared" si="6"/>
        <v>4.6575342465753428E-2</v>
      </c>
      <c r="G27" s="159">
        <f t="shared" si="6"/>
        <v>4.6480743691899071E-2</v>
      </c>
      <c r="H27" s="160">
        <f t="shared" si="6"/>
        <v>4.462242562929062E-2</v>
      </c>
      <c r="I27" s="384">
        <f t="shared" si="7"/>
        <v>5.8988764044943819E-2</v>
      </c>
    </row>
    <row r="28" spans="1:9" x14ac:dyDescent="0.2">
      <c r="A28" s="44"/>
      <c r="B28" s="163"/>
      <c r="C28" s="164"/>
      <c r="D28" s="165"/>
      <c r="E28" s="163"/>
      <c r="F28" s="164"/>
      <c r="G28" s="165"/>
      <c r="H28" s="401"/>
      <c r="I28" s="337"/>
    </row>
    <row r="29" spans="1:9" x14ac:dyDescent="0.2">
      <c r="A29" s="99" t="s">
        <v>25</v>
      </c>
      <c r="B29" s="120">
        <v>46023</v>
      </c>
      <c r="C29" s="120">
        <v>46054</v>
      </c>
      <c r="D29" s="120">
        <v>46082</v>
      </c>
      <c r="E29" s="120">
        <v>46113</v>
      </c>
      <c r="F29" s="120">
        <v>46143</v>
      </c>
      <c r="G29" s="120">
        <v>46174</v>
      </c>
      <c r="H29" s="120">
        <v>46204</v>
      </c>
      <c r="I29" s="199" t="s">
        <v>7</v>
      </c>
    </row>
    <row r="30" spans="1:9" x14ac:dyDescent="0.2">
      <c r="A30" s="105" t="s">
        <v>26</v>
      </c>
      <c r="B30" s="347">
        <v>366</v>
      </c>
      <c r="C30" s="348">
        <v>346</v>
      </c>
      <c r="D30" s="349">
        <v>533</v>
      </c>
      <c r="E30" s="347">
        <v>487</v>
      </c>
      <c r="F30" s="348">
        <v>477</v>
      </c>
      <c r="G30" s="349">
        <v>506</v>
      </c>
      <c r="H30" s="347">
        <v>589</v>
      </c>
      <c r="I30" s="209">
        <f>SUM(B30:H30)</f>
        <v>3304</v>
      </c>
    </row>
    <row r="31" spans="1:9" x14ac:dyDescent="0.2">
      <c r="A31" s="103" t="s">
        <v>27</v>
      </c>
      <c r="B31" s="146">
        <v>127</v>
      </c>
      <c r="C31" s="109">
        <v>75</v>
      </c>
      <c r="D31" s="147">
        <v>116</v>
      </c>
      <c r="E31" s="146">
        <v>110</v>
      </c>
      <c r="F31" s="109">
        <v>108</v>
      </c>
      <c r="G31" s="147">
        <v>105</v>
      </c>
      <c r="H31" s="146">
        <v>116</v>
      </c>
      <c r="I31" s="214">
        <f>SUM(B31:H31)</f>
        <v>757</v>
      </c>
    </row>
    <row r="32" spans="1:9" x14ac:dyDescent="0.2">
      <c r="A32" s="103" t="s">
        <v>28</v>
      </c>
      <c r="B32" s="146">
        <v>64</v>
      </c>
      <c r="C32" s="109">
        <v>66</v>
      </c>
      <c r="D32" s="147">
        <v>103</v>
      </c>
      <c r="E32" s="146">
        <v>86</v>
      </c>
      <c r="F32" s="109">
        <v>105</v>
      </c>
      <c r="G32" s="147">
        <v>94</v>
      </c>
      <c r="H32" s="146">
        <v>105</v>
      </c>
      <c r="I32" s="214">
        <f>SUM(B32:H32)</f>
        <v>623</v>
      </c>
    </row>
    <row r="33" spans="1:9" x14ac:dyDescent="0.2">
      <c r="A33" s="103" t="s">
        <v>29</v>
      </c>
      <c r="B33" s="146">
        <v>10</v>
      </c>
      <c r="C33" s="109">
        <v>12</v>
      </c>
      <c r="D33" s="147">
        <v>28</v>
      </c>
      <c r="E33" s="146">
        <v>15</v>
      </c>
      <c r="F33" s="109">
        <v>15</v>
      </c>
      <c r="G33" s="147">
        <v>23</v>
      </c>
      <c r="H33" s="146">
        <v>27</v>
      </c>
      <c r="I33" s="214">
        <f>SUM(B33:H33)</f>
        <v>130</v>
      </c>
    </row>
    <row r="34" spans="1:9" x14ac:dyDescent="0.2">
      <c r="A34" s="103" t="s">
        <v>30</v>
      </c>
      <c r="B34" s="146">
        <v>15</v>
      </c>
      <c r="C34" s="109">
        <v>10</v>
      </c>
      <c r="D34" s="147">
        <v>35</v>
      </c>
      <c r="E34" s="146">
        <v>23</v>
      </c>
      <c r="F34" s="109">
        <v>25</v>
      </c>
      <c r="G34" s="147">
        <v>25</v>
      </c>
      <c r="H34" s="146">
        <v>37</v>
      </c>
      <c r="I34" s="214">
        <f>SUM(B34:H34)</f>
        <v>170</v>
      </c>
    </row>
    <row r="35" spans="1:9" x14ac:dyDescent="0.2">
      <c r="A35" s="106" t="s">
        <v>31</v>
      </c>
      <c r="B35" s="129"/>
      <c r="C35" s="130"/>
      <c r="D35" s="131"/>
      <c r="E35" s="129"/>
      <c r="F35" s="130"/>
      <c r="G35" s="131"/>
      <c r="H35" s="129"/>
      <c r="I35" s="355">
        <f>SUM(B35:H35)</f>
        <v>0</v>
      </c>
    </row>
    <row r="36" spans="1:9" x14ac:dyDescent="0.2">
      <c r="A36" s="99" t="s">
        <v>24</v>
      </c>
      <c r="B36" s="139">
        <f t="shared" ref="B36:H36" si="8">SUM(B30:B35)</f>
        <v>582</v>
      </c>
      <c r="C36" s="137">
        <f t="shared" si="8"/>
        <v>509</v>
      </c>
      <c r="D36" s="138">
        <f t="shared" si="8"/>
        <v>815</v>
      </c>
      <c r="E36" s="139">
        <f t="shared" si="8"/>
        <v>721</v>
      </c>
      <c r="F36" s="137">
        <f t="shared" si="8"/>
        <v>730</v>
      </c>
      <c r="G36" s="138">
        <f t="shared" si="8"/>
        <v>753</v>
      </c>
      <c r="H36" s="139">
        <f t="shared" si="8"/>
        <v>874</v>
      </c>
      <c r="I36" s="199">
        <f>SUM(B36:H36)</f>
        <v>4984</v>
      </c>
    </row>
    <row r="37" spans="1:9" x14ac:dyDescent="0.2">
      <c r="A37" s="98" t="s">
        <v>17</v>
      </c>
      <c r="B37" s="120">
        <v>46023</v>
      </c>
      <c r="C37" s="120">
        <v>46054</v>
      </c>
      <c r="D37" s="120">
        <v>46082</v>
      </c>
      <c r="E37" s="120">
        <v>46113</v>
      </c>
      <c r="F37" s="120">
        <v>46143</v>
      </c>
      <c r="G37" s="120">
        <v>46174</v>
      </c>
      <c r="H37" s="120">
        <v>46204</v>
      </c>
      <c r="I37" s="359"/>
    </row>
    <row r="38" spans="1:9" x14ac:dyDescent="0.2">
      <c r="A38" s="105" t="s">
        <v>26</v>
      </c>
      <c r="B38" s="360">
        <f t="shared" ref="B38:H42" si="9">B30/B$36</f>
        <v>0.62886597938144329</v>
      </c>
      <c r="C38" s="361">
        <f t="shared" si="9"/>
        <v>0.67976424361493126</v>
      </c>
      <c r="D38" s="362">
        <f t="shared" si="9"/>
        <v>0.65398773006134969</v>
      </c>
      <c r="E38" s="360">
        <f t="shared" si="9"/>
        <v>0.67545076282940364</v>
      </c>
      <c r="F38" s="361">
        <f t="shared" si="9"/>
        <v>0.65342465753424661</v>
      </c>
      <c r="G38" s="362">
        <f t="shared" si="9"/>
        <v>0.67197875166002652</v>
      </c>
      <c r="H38" s="360">
        <f t="shared" si="9"/>
        <v>0.67391304347826086</v>
      </c>
      <c r="I38" s="384">
        <f>I30/$I$36</f>
        <v>0.6629213483146067</v>
      </c>
    </row>
    <row r="39" spans="1:9" x14ac:dyDescent="0.2">
      <c r="A39" s="103" t="s">
        <v>27</v>
      </c>
      <c r="B39" s="172">
        <f t="shared" si="9"/>
        <v>0.21821305841924399</v>
      </c>
      <c r="C39" s="170">
        <f t="shared" si="9"/>
        <v>0.14734774066797643</v>
      </c>
      <c r="D39" s="171">
        <f t="shared" si="9"/>
        <v>0.14233128834355829</v>
      </c>
      <c r="E39" s="172">
        <f t="shared" si="9"/>
        <v>0.15256588072122051</v>
      </c>
      <c r="F39" s="170">
        <f t="shared" si="9"/>
        <v>0.14794520547945206</v>
      </c>
      <c r="G39" s="171">
        <f t="shared" si="9"/>
        <v>0.1394422310756972</v>
      </c>
      <c r="H39" s="172">
        <f t="shared" si="9"/>
        <v>0.13272311212814644</v>
      </c>
      <c r="I39" s="384">
        <f t="shared" ref="I39:I42" si="10">I31/$I$36</f>
        <v>0.1518860353130016</v>
      </c>
    </row>
    <row r="40" spans="1:9" x14ac:dyDescent="0.2">
      <c r="A40" s="103" t="s">
        <v>28</v>
      </c>
      <c r="B40" s="172">
        <f t="shared" si="9"/>
        <v>0.10996563573883161</v>
      </c>
      <c r="C40" s="170">
        <f t="shared" si="9"/>
        <v>0.12966601178781925</v>
      </c>
      <c r="D40" s="171">
        <f t="shared" si="9"/>
        <v>0.1263803680981595</v>
      </c>
      <c r="E40" s="172">
        <f t="shared" si="9"/>
        <v>0.11927877947295423</v>
      </c>
      <c r="F40" s="170">
        <f t="shared" si="9"/>
        <v>0.14383561643835616</v>
      </c>
      <c r="G40" s="171">
        <f t="shared" si="9"/>
        <v>0.1248339973439575</v>
      </c>
      <c r="H40" s="172">
        <f t="shared" si="9"/>
        <v>0.12013729977116705</v>
      </c>
      <c r="I40" s="384">
        <f t="shared" si="10"/>
        <v>0.125</v>
      </c>
    </row>
    <row r="41" spans="1:9" x14ac:dyDescent="0.2">
      <c r="A41" s="103" t="s">
        <v>32</v>
      </c>
      <c r="B41" s="172">
        <f t="shared" si="9"/>
        <v>1.7182130584192441E-2</v>
      </c>
      <c r="C41" s="170">
        <f t="shared" si="9"/>
        <v>2.3575638506876228E-2</v>
      </c>
      <c r="D41" s="171">
        <f t="shared" si="9"/>
        <v>3.4355828220858899E-2</v>
      </c>
      <c r="E41" s="172">
        <f t="shared" si="9"/>
        <v>2.0804438280166437E-2</v>
      </c>
      <c r="F41" s="170">
        <f t="shared" si="9"/>
        <v>2.0547945205479451E-2</v>
      </c>
      <c r="G41" s="171">
        <f t="shared" si="9"/>
        <v>3.054448871181939E-2</v>
      </c>
      <c r="H41" s="172">
        <f t="shared" si="9"/>
        <v>3.0892448512585814E-2</v>
      </c>
      <c r="I41" s="384">
        <f t="shared" si="10"/>
        <v>2.608346709470305E-2</v>
      </c>
    </row>
    <row r="42" spans="1:9" x14ac:dyDescent="0.2">
      <c r="A42" s="103" t="s">
        <v>30</v>
      </c>
      <c r="B42" s="172">
        <f t="shared" si="9"/>
        <v>2.5773195876288658E-2</v>
      </c>
      <c r="C42" s="170">
        <f t="shared" si="9"/>
        <v>1.9646365422396856E-2</v>
      </c>
      <c r="D42" s="171">
        <f t="shared" si="9"/>
        <v>4.2944785276073622E-2</v>
      </c>
      <c r="E42" s="172">
        <f t="shared" si="9"/>
        <v>3.1900138696255201E-2</v>
      </c>
      <c r="F42" s="170">
        <f t="shared" si="9"/>
        <v>3.4246575342465752E-2</v>
      </c>
      <c r="G42" s="171">
        <f t="shared" si="9"/>
        <v>3.3200531208499334E-2</v>
      </c>
      <c r="H42" s="172">
        <f t="shared" si="9"/>
        <v>4.2334096109839819E-2</v>
      </c>
      <c r="I42" s="384">
        <f t="shared" si="10"/>
        <v>3.4109149277688607E-2</v>
      </c>
    </row>
    <row r="43" spans="1:9" x14ac:dyDescent="0.2">
      <c r="A43" s="107" t="s">
        <v>31</v>
      </c>
      <c r="B43" s="160"/>
      <c r="C43" s="158"/>
      <c r="D43" s="159"/>
      <c r="E43" s="160"/>
      <c r="F43" s="158"/>
      <c r="G43" s="159"/>
      <c r="H43" s="233"/>
      <c r="I43" s="365"/>
    </row>
    <row r="44" spans="1:9" x14ac:dyDescent="0.2">
      <c r="A44" s="96"/>
      <c r="B44" s="352"/>
      <c r="C44" s="353"/>
      <c r="D44" s="165"/>
      <c r="E44" s="163"/>
      <c r="F44" s="164"/>
      <c r="G44" s="165"/>
      <c r="H44" s="401"/>
      <c r="I44" s="337"/>
    </row>
    <row r="45" spans="1:9" x14ac:dyDescent="0.2">
      <c r="A45" s="99" t="s">
        <v>33</v>
      </c>
      <c r="B45" s="120">
        <v>46023</v>
      </c>
      <c r="C45" s="120">
        <v>46054</v>
      </c>
      <c r="D45" s="120">
        <v>46082</v>
      </c>
      <c r="E45" s="120">
        <v>46113</v>
      </c>
      <c r="F45" s="120">
        <v>46143</v>
      </c>
      <c r="G45" s="120">
        <v>46174</v>
      </c>
      <c r="H45" s="120">
        <v>46204</v>
      </c>
      <c r="I45" s="199" t="s">
        <v>7</v>
      </c>
    </row>
    <row r="46" spans="1:9" x14ac:dyDescent="0.2">
      <c r="A46" s="105" t="s">
        <v>34</v>
      </c>
      <c r="B46" s="347">
        <v>366</v>
      </c>
      <c r="C46" s="348">
        <v>330</v>
      </c>
      <c r="D46" s="349">
        <v>552</v>
      </c>
      <c r="E46" s="347">
        <v>489</v>
      </c>
      <c r="F46" s="348">
        <v>486</v>
      </c>
      <c r="G46" s="349">
        <v>478</v>
      </c>
      <c r="H46" s="347">
        <v>583</v>
      </c>
      <c r="I46" s="209">
        <f>SUM(B46:H46)</f>
        <v>3284</v>
      </c>
    </row>
    <row r="47" spans="1:9" x14ac:dyDescent="0.2">
      <c r="A47" s="103" t="s">
        <v>35</v>
      </c>
      <c r="B47" s="146">
        <v>6</v>
      </c>
      <c r="C47" s="109">
        <v>7</v>
      </c>
      <c r="D47" s="147">
        <v>12</v>
      </c>
      <c r="E47" s="146">
        <v>12</v>
      </c>
      <c r="F47" s="109">
        <v>11</v>
      </c>
      <c r="G47" s="147">
        <v>10</v>
      </c>
      <c r="H47" s="146">
        <v>12</v>
      </c>
      <c r="I47" s="214">
        <f>SUM(B47:H47)</f>
        <v>70</v>
      </c>
    </row>
    <row r="48" spans="1:9" x14ac:dyDescent="0.2">
      <c r="A48" s="103" t="s">
        <v>36</v>
      </c>
      <c r="B48" s="146">
        <v>24</v>
      </c>
      <c r="C48" s="109">
        <v>8</v>
      </c>
      <c r="D48" s="147">
        <v>22</v>
      </c>
      <c r="E48" s="146">
        <v>19</v>
      </c>
      <c r="F48" s="109">
        <v>11</v>
      </c>
      <c r="G48" s="147">
        <v>16</v>
      </c>
      <c r="H48" s="146">
        <v>39</v>
      </c>
      <c r="I48" s="214">
        <f>SUM(B48:H48)</f>
        <v>139</v>
      </c>
    </row>
    <row r="49" spans="1:9" x14ac:dyDescent="0.2">
      <c r="A49" s="103" t="s">
        <v>37</v>
      </c>
      <c r="B49" s="146">
        <v>18</v>
      </c>
      <c r="C49" s="109">
        <v>15</v>
      </c>
      <c r="D49" s="147">
        <v>22</v>
      </c>
      <c r="E49" s="146">
        <v>15</v>
      </c>
      <c r="F49" s="109">
        <v>12</v>
      </c>
      <c r="G49" s="147">
        <v>16</v>
      </c>
      <c r="H49" s="146">
        <v>14</v>
      </c>
      <c r="I49" s="214">
        <f>SUM(B49:H49)</f>
        <v>112</v>
      </c>
    </row>
    <row r="50" spans="1:9" x14ac:dyDescent="0.2">
      <c r="A50" s="103" t="s">
        <v>38</v>
      </c>
      <c r="B50" s="146">
        <v>168</v>
      </c>
      <c r="C50" s="109">
        <v>149</v>
      </c>
      <c r="D50" s="147">
        <v>207</v>
      </c>
      <c r="E50" s="146">
        <v>186</v>
      </c>
      <c r="F50" s="109">
        <v>210</v>
      </c>
      <c r="G50" s="147">
        <v>233</v>
      </c>
      <c r="H50" s="146">
        <v>226</v>
      </c>
      <c r="I50" s="214">
        <f>SUM(B50:H50)</f>
        <v>1379</v>
      </c>
    </row>
    <row r="51" spans="1:9" x14ac:dyDescent="0.2">
      <c r="A51" s="103" t="s">
        <v>30</v>
      </c>
      <c r="B51" s="146"/>
      <c r="C51" s="109"/>
      <c r="D51" s="147"/>
      <c r="E51" s="146"/>
      <c r="F51" s="109"/>
      <c r="G51" s="147"/>
      <c r="H51" s="146"/>
      <c r="I51" s="214"/>
    </row>
    <row r="52" spans="1:9" x14ac:dyDescent="0.2">
      <c r="A52" s="106" t="s">
        <v>31</v>
      </c>
      <c r="B52" s="155"/>
      <c r="C52" s="156"/>
      <c r="D52" s="157"/>
      <c r="E52" s="155"/>
      <c r="F52" s="156"/>
      <c r="G52" s="157"/>
      <c r="H52" s="155"/>
      <c r="I52" s="355"/>
    </row>
    <row r="53" spans="1:9" x14ac:dyDescent="0.2">
      <c r="A53" s="95" t="s">
        <v>24</v>
      </c>
      <c r="B53" s="401">
        <f t="shared" ref="B53:H53" si="11">SUM(B46:B52)</f>
        <v>582</v>
      </c>
      <c r="C53" s="402">
        <f t="shared" si="11"/>
        <v>509</v>
      </c>
      <c r="D53" s="403">
        <f t="shared" si="11"/>
        <v>815</v>
      </c>
      <c r="E53" s="401">
        <f t="shared" si="11"/>
        <v>721</v>
      </c>
      <c r="F53" s="402">
        <f t="shared" si="11"/>
        <v>730</v>
      </c>
      <c r="G53" s="403">
        <f t="shared" si="11"/>
        <v>753</v>
      </c>
      <c r="H53" s="401">
        <f t="shared" si="11"/>
        <v>874</v>
      </c>
      <c r="I53" s="368">
        <f>SUM(B53:H53)</f>
        <v>4984</v>
      </c>
    </row>
    <row r="54" spans="1:9" x14ac:dyDescent="0.2">
      <c r="A54" s="99" t="s">
        <v>17</v>
      </c>
      <c r="B54" s="120">
        <v>46023</v>
      </c>
      <c r="C54" s="120">
        <v>46054</v>
      </c>
      <c r="D54" s="120">
        <v>46082</v>
      </c>
      <c r="E54" s="120">
        <v>46113</v>
      </c>
      <c r="F54" s="120">
        <v>46143</v>
      </c>
      <c r="G54" s="120">
        <v>46174</v>
      </c>
      <c r="H54" s="120">
        <v>46204</v>
      </c>
      <c r="I54" s="336"/>
    </row>
    <row r="55" spans="1:9" x14ac:dyDescent="0.2">
      <c r="A55" s="105" t="s">
        <v>34</v>
      </c>
      <c r="B55" s="229">
        <f t="shared" ref="B55:H59" si="12">B46/B$53</f>
        <v>0.62886597938144329</v>
      </c>
      <c r="C55" s="144">
        <f t="shared" si="12"/>
        <v>0.64833005893909623</v>
      </c>
      <c r="D55" s="230">
        <f t="shared" si="12"/>
        <v>0.67730061349693249</v>
      </c>
      <c r="E55" s="229">
        <f t="shared" si="12"/>
        <v>0.67822468793342583</v>
      </c>
      <c r="F55" s="144">
        <f t="shared" si="12"/>
        <v>0.66575342465753429</v>
      </c>
      <c r="G55" s="230">
        <f t="shared" si="12"/>
        <v>0.6347941567065073</v>
      </c>
      <c r="H55" s="229">
        <f t="shared" si="12"/>
        <v>0.66704805491990848</v>
      </c>
      <c r="I55" s="371">
        <f>I46/$I$53</f>
        <v>0.658908507223114</v>
      </c>
    </row>
    <row r="56" spans="1:9" x14ac:dyDescent="0.2">
      <c r="A56" s="103" t="s">
        <v>35</v>
      </c>
      <c r="B56" s="172">
        <f t="shared" si="12"/>
        <v>1.0309278350515464E-2</v>
      </c>
      <c r="C56" s="170">
        <f t="shared" si="12"/>
        <v>1.37524557956778E-2</v>
      </c>
      <c r="D56" s="171">
        <f t="shared" si="12"/>
        <v>1.4723926380368098E-2</v>
      </c>
      <c r="E56" s="172">
        <f t="shared" si="12"/>
        <v>1.6643550624133148E-2</v>
      </c>
      <c r="F56" s="170">
        <f t="shared" si="12"/>
        <v>1.5068493150684932E-2</v>
      </c>
      <c r="G56" s="171">
        <f t="shared" si="12"/>
        <v>1.3280212483399735E-2</v>
      </c>
      <c r="H56" s="172">
        <f t="shared" si="12"/>
        <v>1.3729977116704805E-2</v>
      </c>
      <c r="I56" s="371">
        <f t="shared" ref="I56:I59" si="13">I47/$I$53</f>
        <v>1.4044943820224719E-2</v>
      </c>
    </row>
    <row r="57" spans="1:9" x14ac:dyDescent="0.2">
      <c r="A57" s="103" t="s">
        <v>36</v>
      </c>
      <c r="B57" s="172">
        <f t="shared" si="12"/>
        <v>4.1237113402061855E-2</v>
      </c>
      <c r="C57" s="170">
        <f t="shared" si="12"/>
        <v>1.5717092337917484E-2</v>
      </c>
      <c r="D57" s="171">
        <f t="shared" si="12"/>
        <v>2.6993865030674847E-2</v>
      </c>
      <c r="E57" s="172">
        <f t="shared" si="12"/>
        <v>2.6352288488210817E-2</v>
      </c>
      <c r="F57" s="170">
        <f t="shared" si="12"/>
        <v>1.5068493150684932E-2</v>
      </c>
      <c r="G57" s="171">
        <f t="shared" si="12"/>
        <v>2.1248339973439574E-2</v>
      </c>
      <c r="H57" s="172">
        <f t="shared" si="12"/>
        <v>4.462242562929062E-2</v>
      </c>
      <c r="I57" s="371">
        <f t="shared" si="13"/>
        <v>2.78892455858748E-2</v>
      </c>
    </row>
    <row r="58" spans="1:9" x14ac:dyDescent="0.2">
      <c r="A58" s="103" t="s">
        <v>37</v>
      </c>
      <c r="B58" s="172">
        <f t="shared" si="12"/>
        <v>3.0927835051546393E-2</v>
      </c>
      <c r="C58" s="170">
        <f t="shared" si="12"/>
        <v>2.9469548133595286E-2</v>
      </c>
      <c r="D58" s="171">
        <f t="shared" si="12"/>
        <v>2.6993865030674847E-2</v>
      </c>
      <c r="E58" s="172">
        <f t="shared" si="12"/>
        <v>2.0804438280166437E-2</v>
      </c>
      <c r="F58" s="170">
        <f t="shared" si="12"/>
        <v>1.643835616438356E-2</v>
      </c>
      <c r="G58" s="171">
        <f t="shared" si="12"/>
        <v>2.1248339973439574E-2</v>
      </c>
      <c r="H58" s="172">
        <f t="shared" si="12"/>
        <v>1.6018306636155607E-2</v>
      </c>
      <c r="I58" s="371">
        <f t="shared" si="13"/>
        <v>2.247191011235955E-2</v>
      </c>
    </row>
    <row r="59" spans="1:9" x14ac:dyDescent="0.2">
      <c r="A59" s="103" t="s">
        <v>39</v>
      </c>
      <c r="B59" s="172">
        <f t="shared" si="12"/>
        <v>0.28865979381443296</v>
      </c>
      <c r="C59" s="170">
        <f t="shared" si="12"/>
        <v>0.29273084479371314</v>
      </c>
      <c r="D59" s="171">
        <f t="shared" si="12"/>
        <v>0.25398773006134967</v>
      </c>
      <c r="E59" s="172">
        <f t="shared" si="12"/>
        <v>0.2579750346740638</v>
      </c>
      <c r="F59" s="170">
        <f t="shared" si="12"/>
        <v>0.28767123287671231</v>
      </c>
      <c r="G59" s="171">
        <f t="shared" si="12"/>
        <v>0.30942895086321381</v>
      </c>
      <c r="H59" s="172">
        <f t="shared" si="12"/>
        <v>0.2585812356979405</v>
      </c>
      <c r="I59" s="371">
        <f t="shared" si="13"/>
        <v>0.27668539325842695</v>
      </c>
    </row>
    <row r="60" spans="1:9" x14ac:dyDescent="0.2">
      <c r="A60" s="103" t="s">
        <v>30</v>
      </c>
      <c r="B60" s="172"/>
      <c r="C60" s="170"/>
      <c r="D60" s="171"/>
      <c r="E60" s="172"/>
      <c r="F60" s="170"/>
      <c r="G60" s="171"/>
      <c r="H60" s="364"/>
      <c r="I60" s="369"/>
    </row>
    <row r="61" spans="1:9" x14ac:dyDescent="0.2">
      <c r="A61" s="107" t="s">
        <v>31</v>
      </c>
      <c r="B61" s="160"/>
      <c r="C61" s="158"/>
      <c r="D61" s="159"/>
      <c r="E61" s="160"/>
      <c r="F61" s="158"/>
      <c r="G61" s="159"/>
      <c r="H61" s="233"/>
      <c r="I61" s="370"/>
    </row>
    <row r="62" spans="1:9" x14ac:dyDescent="0.2">
      <c r="A62" s="96"/>
      <c r="B62" s="352"/>
      <c r="C62" s="353"/>
      <c r="D62" s="165"/>
      <c r="E62" s="163"/>
      <c r="F62" s="164"/>
      <c r="G62" s="165"/>
      <c r="H62" s="401"/>
      <c r="I62" s="337"/>
    </row>
    <row r="63" spans="1:9" x14ac:dyDescent="0.2">
      <c r="A63" s="268" t="s">
        <v>40</v>
      </c>
      <c r="B63" s="120">
        <v>46023</v>
      </c>
      <c r="C63" s="120">
        <v>46054</v>
      </c>
      <c r="D63" s="120">
        <v>46082</v>
      </c>
      <c r="E63" s="120">
        <v>46113</v>
      </c>
      <c r="F63" s="120">
        <v>46143</v>
      </c>
      <c r="G63" s="120">
        <v>46174</v>
      </c>
      <c r="H63" s="120">
        <v>46204</v>
      </c>
      <c r="I63" s="199" t="s">
        <v>7</v>
      </c>
    </row>
    <row r="64" spans="1:9" x14ac:dyDescent="0.2">
      <c r="A64" s="105" t="s">
        <v>41</v>
      </c>
      <c r="B64" s="347">
        <v>46</v>
      </c>
      <c r="C64" s="348">
        <v>47</v>
      </c>
      <c r="D64" s="349">
        <v>61</v>
      </c>
      <c r="E64" s="347">
        <v>55</v>
      </c>
      <c r="F64" s="348">
        <v>60</v>
      </c>
      <c r="G64" s="349">
        <v>80</v>
      </c>
      <c r="H64" s="347">
        <v>86</v>
      </c>
      <c r="I64" s="209">
        <f>SUM(B64:H64)</f>
        <v>435</v>
      </c>
    </row>
    <row r="65" spans="1:9" x14ac:dyDescent="0.2">
      <c r="A65" s="103" t="s">
        <v>42</v>
      </c>
      <c r="B65" s="146">
        <v>73</v>
      </c>
      <c r="C65" s="109">
        <v>62</v>
      </c>
      <c r="D65" s="147">
        <v>126</v>
      </c>
      <c r="E65" s="146">
        <v>119</v>
      </c>
      <c r="F65" s="109">
        <v>111</v>
      </c>
      <c r="G65" s="147">
        <v>118</v>
      </c>
      <c r="H65" s="146">
        <v>140</v>
      </c>
      <c r="I65" s="214">
        <f>SUM(B65:H65)</f>
        <v>749</v>
      </c>
    </row>
    <row r="66" spans="1:9" x14ac:dyDescent="0.2">
      <c r="A66" s="103" t="s">
        <v>43</v>
      </c>
      <c r="B66" s="146">
        <v>69</v>
      </c>
      <c r="C66" s="109">
        <v>66</v>
      </c>
      <c r="D66" s="147">
        <v>113</v>
      </c>
      <c r="E66" s="146">
        <v>59</v>
      </c>
      <c r="F66" s="109">
        <v>92</v>
      </c>
      <c r="G66" s="147">
        <v>77</v>
      </c>
      <c r="H66" s="146">
        <v>98</v>
      </c>
      <c r="I66" s="214">
        <f>SUM(B66:H66)</f>
        <v>574</v>
      </c>
    </row>
    <row r="67" spans="1:9" x14ac:dyDescent="0.2">
      <c r="A67" s="103" t="s">
        <v>44</v>
      </c>
      <c r="B67" s="146">
        <v>98</v>
      </c>
      <c r="C67" s="109">
        <v>97</v>
      </c>
      <c r="D67" s="147">
        <v>157</v>
      </c>
      <c r="E67" s="146">
        <v>159</v>
      </c>
      <c r="F67" s="109">
        <v>130</v>
      </c>
      <c r="G67" s="147">
        <v>141</v>
      </c>
      <c r="H67" s="146">
        <v>147</v>
      </c>
      <c r="I67" s="214">
        <f>SUM(B67:H67)</f>
        <v>929</v>
      </c>
    </row>
    <row r="68" spans="1:9" x14ac:dyDescent="0.2">
      <c r="A68" s="103" t="s">
        <v>45</v>
      </c>
      <c r="B68" s="146">
        <v>74</v>
      </c>
      <c r="C68" s="109">
        <v>54</v>
      </c>
      <c r="D68" s="147">
        <v>102</v>
      </c>
      <c r="E68" s="146">
        <v>90</v>
      </c>
      <c r="F68" s="109">
        <v>88</v>
      </c>
      <c r="G68" s="147">
        <v>96</v>
      </c>
      <c r="H68" s="146">
        <v>121</v>
      </c>
      <c r="I68" s="214">
        <f>SUM(B68:H68)</f>
        <v>625</v>
      </c>
    </row>
    <row r="69" spans="1:9" x14ac:dyDescent="0.2">
      <c r="A69" s="103" t="s">
        <v>46</v>
      </c>
      <c r="B69" s="146">
        <v>220</v>
      </c>
      <c r="C69" s="109">
        <v>182</v>
      </c>
      <c r="D69" s="147">
        <v>251</v>
      </c>
      <c r="E69" s="146">
        <v>211</v>
      </c>
      <c r="F69" s="109">
        <v>246</v>
      </c>
      <c r="G69" s="147">
        <v>235</v>
      </c>
      <c r="H69" s="146">
        <v>238</v>
      </c>
      <c r="I69" s="214">
        <f>SUM(B69:H69)</f>
        <v>1583</v>
      </c>
    </row>
    <row r="70" spans="1:9" x14ac:dyDescent="0.2">
      <c r="A70" s="103" t="s">
        <v>47</v>
      </c>
      <c r="B70" s="146">
        <v>2</v>
      </c>
      <c r="C70" s="109">
        <v>1</v>
      </c>
      <c r="D70" s="147">
        <v>5</v>
      </c>
      <c r="E70" s="146">
        <v>28</v>
      </c>
      <c r="F70" s="109">
        <v>3</v>
      </c>
      <c r="G70" s="147">
        <v>6</v>
      </c>
      <c r="H70" s="146">
        <v>44</v>
      </c>
      <c r="I70" s="214">
        <f>SUM(B70:H70)</f>
        <v>89</v>
      </c>
    </row>
    <row r="71" spans="1:9" x14ac:dyDescent="0.2">
      <c r="A71" s="106" t="s">
        <v>31</v>
      </c>
      <c r="B71" s="155"/>
      <c r="C71" s="156"/>
      <c r="D71" s="157"/>
      <c r="E71" s="155"/>
      <c r="F71" s="156"/>
      <c r="G71" s="157"/>
      <c r="H71" s="177"/>
      <c r="I71" s="355"/>
    </row>
    <row r="72" spans="1:9" x14ac:dyDescent="0.2">
      <c r="A72" s="95" t="s">
        <v>24</v>
      </c>
      <c r="B72" s="401">
        <f t="shared" ref="B72:H72" si="14">SUM(B64:B71)</f>
        <v>582</v>
      </c>
      <c r="C72" s="402">
        <f t="shared" si="14"/>
        <v>509</v>
      </c>
      <c r="D72" s="403">
        <f t="shared" si="14"/>
        <v>815</v>
      </c>
      <c r="E72" s="401">
        <f t="shared" si="14"/>
        <v>721</v>
      </c>
      <c r="F72" s="402">
        <f t="shared" si="14"/>
        <v>730</v>
      </c>
      <c r="G72" s="403">
        <f t="shared" si="14"/>
        <v>753</v>
      </c>
      <c r="H72" s="401">
        <f t="shared" si="14"/>
        <v>874</v>
      </c>
      <c r="I72" s="368">
        <f>SUM(B72:H72)</f>
        <v>4984</v>
      </c>
    </row>
    <row r="73" spans="1:9" x14ac:dyDescent="0.2">
      <c r="A73" s="99" t="s">
        <v>17</v>
      </c>
      <c r="B73" s="120">
        <v>46023</v>
      </c>
      <c r="C73" s="120">
        <v>46054</v>
      </c>
      <c r="D73" s="120">
        <v>46082</v>
      </c>
      <c r="E73" s="120">
        <v>46113</v>
      </c>
      <c r="F73" s="120">
        <v>46143</v>
      </c>
      <c r="G73" s="120">
        <v>46174</v>
      </c>
      <c r="H73" s="120">
        <v>46204</v>
      </c>
      <c r="I73" s="199"/>
    </row>
    <row r="74" spans="1:9" x14ac:dyDescent="0.2">
      <c r="A74" s="105" t="s">
        <v>41</v>
      </c>
      <c r="B74" s="360">
        <f t="shared" ref="B74:H80" si="15">B64/B$72</f>
        <v>7.903780068728522E-2</v>
      </c>
      <c r="C74" s="361">
        <f t="shared" si="15"/>
        <v>9.2337917485265222E-2</v>
      </c>
      <c r="D74" s="362">
        <f t="shared" si="15"/>
        <v>7.4846625766871164E-2</v>
      </c>
      <c r="E74" s="360">
        <f t="shared" si="15"/>
        <v>7.6282940360610257E-2</v>
      </c>
      <c r="F74" s="361">
        <f t="shared" si="15"/>
        <v>8.2191780821917804E-2</v>
      </c>
      <c r="G74" s="362">
        <f t="shared" si="15"/>
        <v>0.10624169986719788</v>
      </c>
      <c r="H74" s="360">
        <f t="shared" si="15"/>
        <v>9.8398169336384442E-2</v>
      </c>
      <c r="I74" s="371">
        <f>I64/$I$72</f>
        <v>8.72792937399679E-2</v>
      </c>
    </row>
    <row r="75" spans="1:9" x14ac:dyDescent="0.2">
      <c r="A75" s="103" t="s">
        <v>42</v>
      </c>
      <c r="B75" s="172">
        <f t="shared" si="15"/>
        <v>0.12542955326460481</v>
      </c>
      <c r="C75" s="170">
        <f t="shared" si="15"/>
        <v>0.12180746561886051</v>
      </c>
      <c r="D75" s="171">
        <f t="shared" si="15"/>
        <v>0.15460122699386503</v>
      </c>
      <c r="E75" s="172">
        <f t="shared" si="15"/>
        <v>0.1650485436893204</v>
      </c>
      <c r="F75" s="170">
        <f t="shared" si="15"/>
        <v>0.15205479452054796</v>
      </c>
      <c r="G75" s="171">
        <f t="shared" si="15"/>
        <v>0.15670650730411687</v>
      </c>
      <c r="H75" s="172">
        <f t="shared" si="15"/>
        <v>0.16018306636155608</v>
      </c>
      <c r="I75" s="371">
        <f t="shared" ref="I75:I79" si="16">I65/$I$72</f>
        <v>0.1502808988764045</v>
      </c>
    </row>
    <row r="76" spans="1:9" x14ac:dyDescent="0.2">
      <c r="A76" s="103" t="s">
        <v>43</v>
      </c>
      <c r="B76" s="172">
        <f t="shared" si="15"/>
        <v>0.11855670103092783</v>
      </c>
      <c r="C76" s="170">
        <f t="shared" si="15"/>
        <v>0.12966601178781925</v>
      </c>
      <c r="D76" s="171">
        <f t="shared" si="15"/>
        <v>0.13865030674846626</v>
      </c>
      <c r="E76" s="172">
        <f t="shared" si="15"/>
        <v>8.1830790568654652E-2</v>
      </c>
      <c r="F76" s="170">
        <f t="shared" si="15"/>
        <v>0.12602739726027398</v>
      </c>
      <c r="G76" s="171">
        <f t="shared" si="15"/>
        <v>0.10225763612217796</v>
      </c>
      <c r="H76" s="172">
        <f t="shared" si="15"/>
        <v>0.11212814645308924</v>
      </c>
      <c r="I76" s="371">
        <f t="shared" si="16"/>
        <v>0.1151685393258427</v>
      </c>
    </row>
    <row r="77" spans="1:9" x14ac:dyDescent="0.2">
      <c r="A77" s="103" t="s">
        <v>44</v>
      </c>
      <c r="B77" s="172">
        <f t="shared" si="15"/>
        <v>0.16838487972508592</v>
      </c>
      <c r="C77" s="170">
        <f t="shared" si="15"/>
        <v>0.19056974459724951</v>
      </c>
      <c r="D77" s="171">
        <f t="shared" si="15"/>
        <v>0.19263803680981595</v>
      </c>
      <c r="E77" s="172">
        <f t="shared" si="15"/>
        <v>0.22052704576976423</v>
      </c>
      <c r="F77" s="170">
        <f t="shared" si="15"/>
        <v>0.17808219178082191</v>
      </c>
      <c r="G77" s="171">
        <f t="shared" si="15"/>
        <v>0.18725099601593626</v>
      </c>
      <c r="H77" s="172">
        <f t="shared" si="15"/>
        <v>0.16819221967963388</v>
      </c>
      <c r="I77" s="371">
        <f t="shared" si="16"/>
        <v>0.18639646869983947</v>
      </c>
    </row>
    <row r="78" spans="1:9" x14ac:dyDescent="0.2">
      <c r="A78" s="103" t="s">
        <v>45</v>
      </c>
      <c r="B78" s="172">
        <f t="shared" si="15"/>
        <v>0.12714776632302405</v>
      </c>
      <c r="C78" s="170">
        <f t="shared" si="15"/>
        <v>0.10609037328094302</v>
      </c>
      <c r="D78" s="171">
        <f t="shared" si="15"/>
        <v>0.12515337423312883</v>
      </c>
      <c r="E78" s="172">
        <f t="shared" si="15"/>
        <v>0.12482662968099861</v>
      </c>
      <c r="F78" s="170">
        <f t="shared" si="15"/>
        <v>0.12054794520547946</v>
      </c>
      <c r="G78" s="171">
        <f t="shared" si="15"/>
        <v>0.12749003984063745</v>
      </c>
      <c r="H78" s="172">
        <f t="shared" si="15"/>
        <v>0.13844393592677345</v>
      </c>
      <c r="I78" s="371">
        <f t="shared" si="16"/>
        <v>0.12540128410914927</v>
      </c>
    </row>
    <row r="79" spans="1:9" x14ac:dyDescent="0.2">
      <c r="A79" s="103" t="s">
        <v>46</v>
      </c>
      <c r="B79" s="172">
        <f t="shared" si="15"/>
        <v>0.37800687285223367</v>
      </c>
      <c r="C79" s="170">
        <f t="shared" si="15"/>
        <v>0.35756385068762281</v>
      </c>
      <c r="D79" s="171">
        <f t="shared" si="15"/>
        <v>0.30797546012269938</v>
      </c>
      <c r="E79" s="172">
        <f t="shared" si="15"/>
        <v>0.29264909847434117</v>
      </c>
      <c r="F79" s="170">
        <f t="shared" si="15"/>
        <v>0.33698630136986302</v>
      </c>
      <c r="G79" s="171">
        <f t="shared" si="15"/>
        <v>0.31208499335989376</v>
      </c>
      <c r="H79" s="172">
        <f t="shared" si="15"/>
        <v>0.27231121281464532</v>
      </c>
      <c r="I79" s="371">
        <f t="shared" si="16"/>
        <v>0.3176163723916533</v>
      </c>
    </row>
    <row r="80" spans="1:9" x14ac:dyDescent="0.2">
      <c r="A80" s="103" t="s">
        <v>47</v>
      </c>
      <c r="B80" s="172">
        <f t="shared" si="15"/>
        <v>3.4364261168384879E-3</v>
      </c>
      <c r="C80" s="170">
        <f t="shared" si="15"/>
        <v>1.9646365422396855E-3</v>
      </c>
      <c r="D80" s="171">
        <f t="shared" si="15"/>
        <v>6.1349693251533744E-3</v>
      </c>
      <c r="E80" s="172">
        <f t="shared" si="15"/>
        <v>3.8834951456310676E-2</v>
      </c>
      <c r="F80" s="170">
        <f t="shared" si="15"/>
        <v>4.10958904109589E-3</v>
      </c>
      <c r="G80" s="171">
        <f t="shared" si="15"/>
        <v>7.9681274900398405E-3</v>
      </c>
      <c r="H80" s="172">
        <f t="shared" si="15"/>
        <v>5.0343249427917618E-2</v>
      </c>
      <c r="I80" s="371">
        <f>I70/$I$72</f>
        <v>1.7857142857142856E-2</v>
      </c>
    </row>
    <row r="81" spans="1:9" x14ac:dyDescent="0.2">
      <c r="A81" s="107" t="s">
        <v>31</v>
      </c>
      <c r="B81" s="160"/>
      <c r="C81" s="158"/>
      <c r="D81" s="159"/>
      <c r="E81" s="160"/>
      <c r="F81" s="158"/>
      <c r="G81" s="159"/>
      <c r="H81" s="233"/>
      <c r="I81" s="215"/>
    </row>
    <row r="82" spans="1:9" x14ac:dyDescent="0.2">
      <c r="A82" s="105"/>
      <c r="B82" s="229"/>
      <c r="C82" s="144"/>
      <c r="D82" s="230"/>
      <c r="E82" s="229"/>
      <c r="F82" s="144"/>
      <c r="G82" s="230"/>
      <c r="H82" s="181"/>
      <c r="I82" s="209"/>
    </row>
    <row r="83" spans="1:9" x14ac:dyDescent="0.2">
      <c r="A83" s="106"/>
      <c r="B83" s="129"/>
      <c r="C83" s="130"/>
      <c r="D83" s="131"/>
      <c r="E83" s="129"/>
      <c r="F83" s="130"/>
      <c r="G83" s="131"/>
      <c r="H83" s="258"/>
      <c r="I83" s="355"/>
    </row>
    <row r="84" spans="1:9" x14ac:dyDescent="0.2">
      <c r="A84" s="101" t="s">
        <v>48</v>
      </c>
      <c r="B84" s="190"/>
      <c r="C84" s="191"/>
      <c r="D84" s="192"/>
      <c r="E84" s="190"/>
      <c r="F84" s="191"/>
      <c r="G84" s="192"/>
      <c r="H84" s="398"/>
      <c r="I84" s="372"/>
    </row>
    <row r="85" spans="1:9" x14ac:dyDescent="0.2">
      <c r="A85" s="99" t="s">
        <v>49</v>
      </c>
      <c r="B85" s="120">
        <v>46023</v>
      </c>
      <c r="C85" s="120">
        <v>46054</v>
      </c>
      <c r="D85" s="120">
        <v>46082</v>
      </c>
      <c r="E85" s="120">
        <v>46113</v>
      </c>
      <c r="F85" s="120">
        <v>46143</v>
      </c>
      <c r="G85" s="120">
        <v>46174</v>
      </c>
      <c r="H85" s="120">
        <v>46204</v>
      </c>
      <c r="I85" s="199" t="s">
        <v>7</v>
      </c>
    </row>
    <row r="86" spans="1:9" x14ac:dyDescent="0.2">
      <c r="A86" s="105" t="s">
        <v>50</v>
      </c>
      <c r="B86" s="347">
        <v>294</v>
      </c>
      <c r="C86" s="348">
        <v>273</v>
      </c>
      <c r="D86" s="349">
        <v>453</v>
      </c>
      <c r="E86" s="347">
        <v>371</v>
      </c>
      <c r="F86" s="348">
        <v>343</v>
      </c>
      <c r="G86" s="349">
        <v>366</v>
      </c>
      <c r="H86" s="347">
        <v>453</v>
      </c>
      <c r="I86" s="209">
        <f>SUM(B86:H86)</f>
        <v>2553</v>
      </c>
    </row>
    <row r="87" spans="1:9" x14ac:dyDescent="0.2">
      <c r="A87" s="103" t="s">
        <v>51</v>
      </c>
      <c r="B87" s="146">
        <v>113</v>
      </c>
      <c r="C87" s="109">
        <v>83</v>
      </c>
      <c r="D87" s="147">
        <v>115</v>
      </c>
      <c r="E87" s="146">
        <v>128</v>
      </c>
      <c r="F87" s="109">
        <v>131</v>
      </c>
      <c r="G87" s="147">
        <v>124</v>
      </c>
      <c r="H87" s="146">
        <v>163</v>
      </c>
      <c r="I87" s="209">
        <f>SUM(B87:H87)</f>
        <v>857</v>
      </c>
    </row>
    <row r="88" spans="1:9" x14ac:dyDescent="0.2">
      <c r="A88" s="103" t="s">
        <v>52</v>
      </c>
      <c r="B88" s="146">
        <v>49</v>
      </c>
      <c r="C88" s="109">
        <v>44</v>
      </c>
      <c r="D88" s="147">
        <v>66</v>
      </c>
      <c r="E88" s="146">
        <v>72</v>
      </c>
      <c r="F88" s="109">
        <v>79</v>
      </c>
      <c r="G88" s="147">
        <v>53</v>
      </c>
      <c r="H88" s="146">
        <v>70</v>
      </c>
      <c r="I88" s="209">
        <f>SUM(B88:H88)</f>
        <v>433</v>
      </c>
    </row>
    <row r="89" spans="1:9" x14ac:dyDescent="0.2">
      <c r="A89" s="103" t="s">
        <v>53</v>
      </c>
      <c r="B89" s="146">
        <v>14</v>
      </c>
      <c r="C89" s="109">
        <v>14</v>
      </c>
      <c r="D89" s="147">
        <v>25</v>
      </c>
      <c r="E89" s="146">
        <v>20</v>
      </c>
      <c r="F89" s="109">
        <v>14</v>
      </c>
      <c r="G89" s="147">
        <v>13</v>
      </c>
      <c r="H89" s="146">
        <v>21</v>
      </c>
      <c r="I89" s="209">
        <f>SUM(B89:H89)</f>
        <v>121</v>
      </c>
    </row>
    <row r="90" spans="1:9" x14ac:dyDescent="0.2">
      <c r="A90" s="103" t="s">
        <v>54</v>
      </c>
      <c r="B90" s="146">
        <v>1</v>
      </c>
      <c r="C90" s="109">
        <v>1</v>
      </c>
      <c r="D90" s="147">
        <v>0</v>
      </c>
      <c r="E90" s="146">
        <v>1</v>
      </c>
      <c r="F90" s="109"/>
      <c r="G90" s="147">
        <v>2</v>
      </c>
      <c r="H90" s="146"/>
      <c r="I90" s="209">
        <f>SUM(B90:H90)</f>
        <v>5</v>
      </c>
    </row>
    <row r="91" spans="1:9" x14ac:dyDescent="0.2">
      <c r="A91" s="103" t="s">
        <v>30</v>
      </c>
      <c r="B91" s="146">
        <v>2</v>
      </c>
      <c r="C91" s="109">
        <v>4</v>
      </c>
      <c r="D91" s="147">
        <v>6</v>
      </c>
      <c r="E91" s="146">
        <v>1</v>
      </c>
      <c r="F91" s="109">
        <v>12</v>
      </c>
      <c r="G91" s="147">
        <v>14</v>
      </c>
      <c r="H91" s="146">
        <v>13</v>
      </c>
      <c r="I91" s="209">
        <f>SUM(B91:H91)</f>
        <v>52</v>
      </c>
    </row>
    <row r="92" spans="1:9" x14ac:dyDescent="0.2">
      <c r="A92" s="103" t="s">
        <v>55</v>
      </c>
      <c r="B92" s="146">
        <v>109</v>
      </c>
      <c r="C92" s="109">
        <v>90</v>
      </c>
      <c r="D92" s="147">
        <v>150</v>
      </c>
      <c r="E92" s="146">
        <v>128</v>
      </c>
      <c r="F92" s="109">
        <v>151</v>
      </c>
      <c r="G92" s="147">
        <v>181</v>
      </c>
      <c r="H92" s="146">
        <v>154</v>
      </c>
      <c r="I92" s="209">
        <f>SUM(B92:H92)</f>
        <v>963</v>
      </c>
    </row>
    <row r="93" spans="1:9" x14ac:dyDescent="0.2">
      <c r="A93" s="106" t="s">
        <v>24</v>
      </c>
      <c r="B93" s="177">
        <f t="shared" ref="B93:H93" si="17">SUM(B86:B92)</f>
        <v>582</v>
      </c>
      <c r="C93" s="175">
        <f t="shared" si="17"/>
        <v>509</v>
      </c>
      <c r="D93" s="176">
        <f t="shared" si="17"/>
        <v>815</v>
      </c>
      <c r="E93" s="177">
        <f t="shared" si="17"/>
        <v>721</v>
      </c>
      <c r="F93" s="175">
        <f t="shared" si="17"/>
        <v>730</v>
      </c>
      <c r="G93" s="176">
        <f t="shared" si="17"/>
        <v>753</v>
      </c>
      <c r="H93" s="177">
        <f t="shared" si="17"/>
        <v>874</v>
      </c>
      <c r="I93" s="208">
        <f>SUM(B93:H93)</f>
        <v>4984</v>
      </c>
    </row>
    <row r="94" spans="1:9" x14ac:dyDescent="0.2">
      <c r="A94" s="99" t="s">
        <v>17</v>
      </c>
      <c r="B94" s="120">
        <v>46023</v>
      </c>
      <c r="C94" s="120">
        <v>46054</v>
      </c>
      <c r="D94" s="120">
        <v>46082</v>
      </c>
      <c r="E94" s="120">
        <v>46113</v>
      </c>
      <c r="F94" s="120">
        <v>46143</v>
      </c>
      <c r="G94" s="120">
        <v>46174</v>
      </c>
      <c r="H94" s="120">
        <v>46204</v>
      </c>
      <c r="I94" s="199"/>
    </row>
    <row r="95" spans="1:9" x14ac:dyDescent="0.2">
      <c r="A95" s="105" t="s">
        <v>50</v>
      </c>
      <c r="B95" s="360">
        <f t="shared" ref="B95:H101" si="18">B86/B$93</f>
        <v>0.50515463917525771</v>
      </c>
      <c r="C95" s="361">
        <f t="shared" si="18"/>
        <v>0.53634577603143418</v>
      </c>
      <c r="D95" s="362">
        <f t="shared" si="18"/>
        <v>0.55582822085889572</v>
      </c>
      <c r="E95" s="360">
        <f t="shared" si="18"/>
        <v>0.5145631067961165</v>
      </c>
      <c r="F95" s="361">
        <f t="shared" si="18"/>
        <v>0.46986301369863015</v>
      </c>
      <c r="G95" s="362">
        <f t="shared" si="18"/>
        <v>0.48605577689243029</v>
      </c>
      <c r="H95" s="360">
        <f t="shared" si="18"/>
        <v>0.51830663615560646</v>
      </c>
      <c r="I95" s="384">
        <f>I86/$I$93</f>
        <v>0.512239165329053</v>
      </c>
    </row>
    <row r="96" spans="1:9" x14ac:dyDescent="0.2">
      <c r="A96" s="103" t="s">
        <v>51</v>
      </c>
      <c r="B96" s="172">
        <f t="shared" si="18"/>
        <v>0.19415807560137457</v>
      </c>
      <c r="C96" s="170">
        <f t="shared" si="18"/>
        <v>0.16306483300589392</v>
      </c>
      <c r="D96" s="171">
        <f t="shared" si="18"/>
        <v>0.1411042944785276</v>
      </c>
      <c r="E96" s="172">
        <f t="shared" si="18"/>
        <v>0.17753120665742025</v>
      </c>
      <c r="F96" s="170">
        <f t="shared" si="18"/>
        <v>0.17945205479452056</v>
      </c>
      <c r="G96" s="171">
        <f t="shared" si="18"/>
        <v>0.1646746347941567</v>
      </c>
      <c r="H96" s="172">
        <f t="shared" si="18"/>
        <v>0.18649885583524028</v>
      </c>
      <c r="I96" s="384">
        <f t="shared" ref="I96:I101" si="19">I87/$I$93</f>
        <v>0.1719502407704655</v>
      </c>
    </row>
    <row r="97" spans="1:9" x14ac:dyDescent="0.2">
      <c r="A97" s="103" t="s">
        <v>52</v>
      </c>
      <c r="B97" s="172">
        <f t="shared" si="18"/>
        <v>8.4192439862542962E-2</v>
      </c>
      <c r="C97" s="170">
        <f t="shared" si="18"/>
        <v>8.6444007858546168E-2</v>
      </c>
      <c r="D97" s="171">
        <f t="shared" si="18"/>
        <v>8.0981595092024544E-2</v>
      </c>
      <c r="E97" s="172">
        <f t="shared" si="18"/>
        <v>9.9861303744798888E-2</v>
      </c>
      <c r="F97" s="170">
        <f t="shared" si="18"/>
        <v>0.10821917808219178</v>
      </c>
      <c r="G97" s="171">
        <f t="shared" si="18"/>
        <v>7.0385126162018599E-2</v>
      </c>
      <c r="H97" s="172">
        <f t="shared" si="18"/>
        <v>8.0091533180778038E-2</v>
      </c>
      <c r="I97" s="384">
        <f t="shared" si="19"/>
        <v>8.6878009630818626E-2</v>
      </c>
    </row>
    <row r="98" spans="1:9" x14ac:dyDescent="0.2">
      <c r="A98" s="103" t="s">
        <v>56</v>
      </c>
      <c r="B98" s="172">
        <f t="shared" si="18"/>
        <v>2.4054982817869417E-2</v>
      </c>
      <c r="C98" s="170">
        <f t="shared" si="18"/>
        <v>2.75049115913556E-2</v>
      </c>
      <c r="D98" s="171">
        <f t="shared" si="18"/>
        <v>3.0674846625766871E-2</v>
      </c>
      <c r="E98" s="172">
        <f t="shared" si="18"/>
        <v>2.7739251040221916E-2</v>
      </c>
      <c r="F98" s="170">
        <f t="shared" si="18"/>
        <v>1.9178082191780823E-2</v>
      </c>
      <c r="G98" s="171">
        <f t="shared" si="18"/>
        <v>1.7264276228419653E-2</v>
      </c>
      <c r="H98" s="172">
        <f t="shared" si="18"/>
        <v>2.4027459954233409E-2</v>
      </c>
      <c r="I98" s="384">
        <f t="shared" si="19"/>
        <v>2.42776886035313E-2</v>
      </c>
    </row>
    <row r="99" spans="1:9" x14ac:dyDescent="0.2">
      <c r="A99" s="103" t="s">
        <v>54</v>
      </c>
      <c r="B99" s="172">
        <f t="shared" si="18"/>
        <v>1.718213058419244E-3</v>
      </c>
      <c r="C99" s="170">
        <f t="shared" si="18"/>
        <v>1.9646365422396855E-3</v>
      </c>
      <c r="D99" s="171">
        <f t="shared" si="18"/>
        <v>0</v>
      </c>
      <c r="E99" s="172">
        <f t="shared" si="18"/>
        <v>1.3869625520110957E-3</v>
      </c>
      <c r="F99" s="170">
        <f t="shared" si="18"/>
        <v>0</v>
      </c>
      <c r="G99" s="171">
        <f t="shared" si="18"/>
        <v>2.6560424966799467E-3</v>
      </c>
      <c r="H99" s="172">
        <f t="shared" si="18"/>
        <v>0</v>
      </c>
      <c r="I99" s="384">
        <f t="shared" si="19"/>
        <v>1.0032102728731941E-3</v>
      </c>
    </row>
    <row r="100" spans="1:9" x14ac:dyDescent="0.2">
      <c r="A100" s="103" t="s">
        <v>30</v>
      </c>
      <c r="B100" s="172">
        <f t="shared" si="18"/>
        <v>3.4364261168384879E-3</v>
      </c>
      <c r="C100" s="170">
        <f t="shared" si="18"/>
        <v>7.8585461689587421E-3</v>
      </c>
      <c r="D100" s="171">
        <f t="shared" si="18"/>
        <v>7.3619631901840491E-3</v>
      </c>
      <c r="E100" s="172">
        <f t="shared" si="18"/>
        <v>1.3869625520110957E-3</v>
      </c>
      <c r="F100" s="170">
        <f t="shared" si="18"/>
        <v>1.643835616438356E-2</v>
      </c>
      <c r="G100" s="171">
        <f t="shared" si="18"/>
        <v>1.8592297476759629E-2</v>
      </c>
      <c r="H100" s="172">
        <f t="shared" si="18"/>
        <v>1.4874141876430207E-2</v>
      </c>
      <c r="I100" s="384">
        <f t="shared" si="19"/>
        <v>1.043338683788122E-2</v>
      </c>
    </row>
    <row r="101" spans="1:9" x14ac:dyDescent="0.2">
      <c r="A101" s="107" t="s">
        <v>55</v>
      </c>
      <c r="B101" s="160">
        <f t="shared" si="18"/>
        <v>0.1872852233676976</v>
      </c>
      <c r="C101" s="158">
        <f t="shared" si="18"/>
        <v>0.17681728880157171</v>
      </c>
      <c r="D101" s="159">
        <f t="shared" si="18"/>
        <v>0.18404907975460122</v>
      </c>
      <c r="E101" s="160">
        <f t="shared" si="18"/>
        <v>0.17753120665742025</v>
      </c>
      <c r="F101" s="158">
        <f t="shared" si="18"/>
        <v>0.20684931506849316</v>
      </c>
      <c r="G101" s="159">
        <f t="shared" si="18"/>
        <v>0.2403718459495352</v>
      </c>
      <c r="H101" s="160">
        <f t="shared" si="18"/>
        <v>0.17620137299771166</v>
      </c>
      <c r="I101" s="384">
        <f t="shared" si="19"/>
        <v>0.1932182985553772</v>
      </c>
    </row>
    <row r="102" spans="1:9" x14ac:dyDescent="0.2">
      <c r="A102" s="96"/>
      <c r="B102" s="352"/>
      <c r="C102" s="353"/>
      <c r="D102" s="165"/>
      <c r="E102" s="163"/>
      <c r="F102" s="164"/>
      <c r="G102" s="165"/>
      <c r="H102" s="401"/>
      <c r="I102" s="337"/>
    </row>
    <row r="103" spans="1:9" x14ac:dyDescent="0.2">
      <c r="A103" s="99" t="s">
        <v>57</v>
      </c>
      <c r="B103" s="120">
        <v>46023</v>
      </c>
      <c r="C103" s="120">
        <v>46054</v>
      </c>
      <c r="D103" s="120">
        <v>46082</v>
      </c>
      <c r="E103" s="120">
        <v>46113</v>
      </c>
      <c r="F103" s="120">
        <v>46143</v>
      </c>
      <c r="G103" s="120">
        <v>46174</v>
      </c>
      <c r="H103" s="120">
        <v>46204</v>
      </c>
      <c r="I103" s="199" t="s">
        <v>7</v>
      </c>
    </row>
    <row r="104" spans="1:9" x14ac:dyDescent="0.2">
      <c r="A104" s="105" t="s">
        <v>58</v>
      </c>
      <c r="B104" s="141">
        <v>338</v>
      </c>
      <c r="C104" s="142">
        <v>299</v>
      </c>
      <c r="D104" s="143">
        <v>464</v>
      </c>
      <c r="E104" s="141">
        <v>427</v>
      </c>
      <c r="F104" s="142">
        <v>411</v>
      </c>
      <c r="G104" s="143">
        <v>415</v>
      </c>
      <c r="H104" s="141">
        <v>468</v>
      </c>
      <c r="I104" s="209">
        <f>SUM(B104:H104)</f>
        <v>2822</v>
      </c>
    </row>
    <row r="105" spans="1:9" x14ac:dyDescent="0.2">
      <c r="A105" s="103" t="s">
        <v>59</v>
      </c>
      <c r="B105" s="146">
        <v>164</v>
      </c>
      <c r="C105" s="109">
        <v>146</v>
      </c>
      <c r="D105" s="147">
        <v>226</v>
      </c>
      <c r="E105" s="146">
        <v>196</v>
      </c>
      <c r="F105" s="109">
        <v>205</v>
      </c>
      <c r="G105" s="147">
        <v>197</v>
      </c>
      <c r="H105" s="146">
        <v>268</v>
      </c>
      <c r="I105" s="209">
        <f>SUM(B105:H105)</f>
        <v>1402</v>
      </c>
    </row>
    <row r="106" spans="1:9" x14ac:dyDescent="0.2">
      <c r="A106" s="103" t="s">
        <v>60</v>
      </c>
      <c r="B106" s="146">
        <v>1</v>
      </c>
      <c r="C106" s="109">
        <v>3</v>
      </c>
      <c r="D106" s="147">
        <v>2</v>
      </c>
      <c r="E106" s="146">
        <v>2</v>
      </c>
      <c r="F106" s="109">
        <v>2</v>
      </c>
      <c r="G106" s="147">
        <v>2</v>
      </c>
      <c r="H106" s="146">
        <v>3</v>
      </c>
      <c r="I106" s="209">
        <f>SUM(B106:H106)</f>
        <v>15</v>
      </c>
    </row>
    <row r="107" spans="1:9" x14ac:dyDescent="0.2">
      <c r="A107" s="103" t="s">
        <v>55</v>
      </c>
      <c r="B107" s="146">
        <v>79</v>
      </c>
      <c r="C107" s="109">
        <v>61</v>
      </c>
      <c r="D107" s="147">
        <v>123</v>
      </c>
      <c r="E107" s="146">
        <v>96</v>
      </c>
      <c r="F107" s="109">
        <v>112</v>
      </c>
      <c r="G107" s="147">
        <v>139</v>
      </c>
      <c r="H107" s="146">
        <v>135</v>
      </c>
      <c r="I107" s="209">
        <f>SUM(B107:H107)</f>
        <v>745</v>
      </c>
    </row>
    <row r="108" spans="1:9" x14ac:dyDescent="0.2">
      <c r="A108" s="106" t="s">
        <v>24</v>
      </c>
      <c r="B108" s="258">
        <f t="shared" ref="B108:H108" si="20">SUM(B104:B107)</f>
        <v>582</v>
      </c>
      <c r="C108" s="259">
        <f t="shared" si="20"/>
        <v>509</v>
      </c>
      <c r="D108" s="260">
        <f t="shared" si="20"/>
        <v>815</v>
      </c>
      <c r="E108" s="258">
        <f t="shared" si="20"/>
        <v>721</v>
      </c>
      <c r="F108" s="259">
        <f t="shared" si="20"/>
        <v>730</v>
      </c>
      <c r="G108" s="260">
        <f t="shared" si="20"/>
        <v>753</v>
      </c>
      <c r="H108" s="258">
        <f t="shared" si="20"/>
        <v>874</v>
      </c>
      <c r="I108" s="208">
        <f>SUM(B108:H108)</f>
        <v>4984</v>
      </c>
    </row>
    <row r="109" spans="1:9" x14ac:dyDescent="0.2">
      <c r="A109" s="99" t="s">
        <v>17</v>
      </c>
      <c r="B109" s="120">
        <v>46023</v>
      </c>
      <c r="C109" s="120">
        <v>46054</v>
      </c>
      <c r="D109" s="120">
        <v>46082</v>
      </c>
      <c r="E109" s="120">
        <v>46113</v>
      </c>
      <c r="F109" s="120">
        <v>46143</v>
      </c>
      <c r="G109" s="120">
        <v>46174</v>
      </c>
      <c r="H109" s="120">
        <v>46204</v>
      </c>
      <c r="I109" s="199"/>
    </row>
    <row r="110" spans="1:9" x14ac:dyDescent="0.2">
      <c r="A110" s="105" t="s">
        <v>58</v>
      </c>
      <c r="B110" s="229">
        <f t="shared" ref="B110:H113" si="21">B104/B$108</f>
        <v>0.58075601374570451</v>
      </c>
      <c r="C110" s="144">
        <f t="shared" si="21"/>
        <v>0.58742632612966605</v>
      </c>
      <c r="D110" s="230">
        <f t="shared" si="21"/>
        <v>0.56932515337423317</v>
      </c>
      <c r="E110" s="229">
        <f t="shared" si="21"/>
        <v>0.59223300970873782</v>
      </c>
      <c r="F110" s="144">
        <f t="shared" si="21"/>
        <v>0.56301369863013695</v>
      </c>
      <c r="G110" s="230">
        <f t="shared" si="21"/>
        <v>0.55112881806108893</v>
      </c>
      <c r="H110" s="229">
        <f t="shared" si="21"/>
        <v>0.53546910755148747</v>
      </c>
      <c r="I110" s="384">
        <f>I104/$I$108</f>
        <v>0.5662118780096308</v>
      </c>
    </row>
    <row r="111" spans="1:9" x14ac:dyDescent="0.2">
      <c r="A111" s="103" t="s">
        <v>59</v>
      </c>
      <c r="B111" s="172">
        <f t="shared" si="21"/>
        <v>0.28178694158075601</v>
      </c>
      <c r="C111" s="170">
        <f t="shared" si="21"/>
        <v>0.2868369351669941</v>
      </c>
      <c r="D111" s="171">
        <f t="shared" si="21"/>
        <v>0.27730061349693252</v>
      </c>
      <c r="E111" s="172">
        <f t="shared" si="21"/>
        <v>0.27184466019417475</v>
      </c>
      <c r="F111" s="170">
        <f t="shared" si="21"/>
        <v>0.28082191780821919</v>
      </c>
      <c r="G111" s="171">
        <f t="shared" si="21"/>
        <v>0.26162018592297476</v>
      </c>
      <c r="H111" s="172">
        <f t="shared" si="21"/>
        <v>0.30663615560640733</v>
      </c>
      <c r="I111" s="384">
        <f t="shared" ref="I111:I113" si="22">I105/$I$108</f>
        <v>0.28130016051364365</v>
      </c>
    </row>
    <row r="112" spans="1:9" x14ac:dyDescent="0.2">
      <c r="A112" s="103" t="s">
        <v>60</v>
      </c>
      <c r="B112" s="172">
        <f t="shared" si="21"/>
        <v>1.718213058419244E-3</v>
      </c>
      <c r="C112" s="170">
        <f t="shared" si="21"/>
        <v>5.893909626719057E-3</v>
      </c>
      <c r="D112" s="171">
        <f t="shared" si="21"/>
        <v>2.4539877300613498E-3</v>
      </c>
      <c r="E112" s="172">
        <f t="shared" si="21"/>
        <v>2.7739251040221915E-3</v>
      </c>
      <c r="F112" s="170">
        <f t="shared" si="21"/>
        <v>2.7397260273972603E-3</v>
      </c>
      <c r="G112" s="171">
        <f t="shared" si="21"/>
        <v>2.6560424966799467E-3</v>
      </c>
      <c r="H112" s="172">
        <f t="shared" si="21"/>
        <v>3.4324942791762012E-3</v>
      </c>
      <c r="I112" s="384">
        <f t="shared" si="22"/>
        <v>3.0096308186195828E-3</v>
      </c>
    </row>
    <row r="113" spans="1:9" x14ac:dyDescent="0.2">
      <c r="A113" s="107" t="s">
        <v>55</v>
      </c>
      <c r="B113" s="160">
        <f t="shared" si="21"/>
        <v>0.13573883161512026</v>
      </c>
      <c r="C113" s="158">
        <f t="shared" si="21"/>
        <v>0.11984282907662082</v>
      </c>
      <c r="D113" s="159">
        <f t="shared" si="21"/>
        <v>0.150920245398773</v>
      </c>
      <c r="E113" s="160">
        <f t="shared" si="21"/>
        <v>0.13314840499306518</v>
      </c>
      <c r="F113" s="158">
        <f t="shared" si="21"/>
        <v>0.15342465753424658</v>
      </c>
      <c r="G113" s="159">
        <f t="shared" si="21"/>
        <v>0.18459495351925631</v>
      </c>
      <c r="H113" s="160">
        <f t="shared" si="21"/>
        <v>0.15446224256292906</v>
      </c>
      <c r="I113" s="384">
        <f t="shared" si="22"/>
        <v>0.14947833065810595</v>
      </c>
    </row>
    <row r="114" spans="1:9" x14ac:dyDescent="0.2">
      <c r="A114" s="96"/>
      <c r="B114" s="352"/>
      <c r="C114" s="353"/>
      <c r="D114" s="165"/>
      <c r="E114" s="163"/>
      <c r="F114" s="164"/>
      <c r="G114" s="165"/>
      <c r="H114" s="401"/>
      <c r="I114" s="337"/>
    </row>
    <row r="115" spans="1:9" x14ac:dyDescent="0.2">
      <c r="A115" s="99" t="s">
        <v>61</v>
      </c>
      <c r="B115" s="120">
        <v>46023</v>
      </c>
      <c r="C115" s="120">
        <v>46054</v>
      </c>
      <c r="D115" s="120">
        <v>46082</v>
      </c>
      <c r="E115" s="120">
        <v>46113</v>
      </c>
      <c r="F115" s="120">
        <v>46143</v>
      </c>
      <c r="G115" s="120">
        <v>46174</v>
      </c>
      <c r="H115" s="120">
        <v>46204</v>
      </c>
      <c r="I115" s="199" t="s">
        <v>7</v>
      </c>
    </row>
    <row r="116" spans="1:9" x14ac:dyDescent="0.2">
      <c r="A116" s="105" t="s">
        <v>62</v>
      </c>
      <c r="B116" s="347">
        <v>3</v>
      </c>
      <c r="C116" s="348">
        <v>4</v>
      </c>
      <c r="D116" s="349">
        <v>11</v>
      </c>
      <c r="E116" s="347">
        <v>4</v>
      </c>
      <c r="F116" s="348">
        <v>14</v>
      </c>
      <c r="G116" s="349">
        <v>11</v>
      </c>
      <c r="H116" s="347">
        <v>13</v>
      </c>
      <c r="I116" s="209">
        <f>SUM(B116:H116)</f>
        <v>60</v>
      </c>
    </row>
    <row r="117" spans="1:9" x14ac:dyDescent="0.2">
      <c r="A117" s="103" t="s">
        <v>63</v>
      </c>
      <c r="B117" s="146">
        <v>88</v>
      </c>
      <c r="C117" s="109">
        <v>65</v>
      </c>
      <c r="D117" s="147">
        <v>92</v>
      </c>
      <c r="E117" s="146">
        <v>95</v>
      </c>
      <c r="F117" s="109">
        <v>78</v>
      </c>
      <c r="G117" s="147">
        <v>73</v>
      </c>
      <c r="H117" s="146">
        <v>98</v>
      </c>
      <c r="I117" s="209">
        <f>SUM(B117:H117)</f>
        <v>589</v>
      </c>
    </row>
    <row r="118" spans="1:9" x14ac:dyDescent="0.2">
      <c r="A118" s="103" t="s">
        <v>64</v>
      </c>
      <c r="B118" s="146">
        <v>129</v>
      </c>
      <c r="C118" s="109">
        <v>135</v>
      </c>
      <c r="D118" s="147">
        <v>198</v>
      </c>
      <c r="E118" s="146">
        <v>184</v>
      </c>
      <c r="F118" s="109">
        <v>219</v>
      </c>
      <c r="G118" s="147">
        <v>195</v>
      </c>
      <c r="H118" s="146">
        <v>241</v>
      </c>
      <c r="I118" s="209">
        <f>SUM(B118:H118)</f>
        <v>1301</v>
      </c>
    </row>
    <row r="119" spans="1:9" x14ac:dyDescent="0.2">
      <c r="A119" s="103" t="s">
        <v>65</v>
      </c>
      <c r="B119" s="146">
        <v>87</v>
      </c>
      <c r="C119" s="109">
        <v>92</v>
      </c>
      <c r="D119" s="147">
        <v>168</v>
      </c>
      <c r="E119" s="146">
        <v>136</v>
      </c>
      <c r="F119" s="109">
        <v>146</v>
      </c>
      <c r="G119" s="147">
        <v>111</v>
      </c>
      <c r="H119" s="146">
        <v>149</v>
      </c>
      <c r="I119" s="209">
        <f>SUM(B119:H119)</f>
        <v>889</v>
      </c>
    </row>
    <row r="120" spans="1:9" x14ac:dyDescent="0.2">
      <c r="A120" s="103" t="s">
        <v>66</v>
      </c>
      <c r="B120" s="146">
        <v>79</v>
      </c>
      <c r="C120" s="109">
        <v>66</v>
      </c>
      <c r="D120" s="147">
        <v>101</v>
      </c>
      <c r="E120" s="146">
        <v>94</v>
      </c>
      <c r="F120" s="109">
        <v>83</v>
      </c>
      <c r="G120" s="147">
        <v>82</v>
      </c>
      <c r="H120" s="146">
        <v>117</v>
      </c>
      <c r="I120" s="209">
        <f>SUM(B120:H120)</f>
        <v>622</v>
      </c>
    </row>
    <row r="121" spans="1:9" x14ac:dyDescent="0.2">
      <c r="A121" s="103" t="s">
        <v>67</v>
      </c>
      <c r="B121" s="146">
        <v>19</v>
      </c>
      <c r="C121" s="109">
        <v>13</v>
      </c>
      <c r="D121" s="147">
        <v>28</v>
      </c>
      <c r="E121" s="146">
        <v>28</v>
      </c>
      <c r="F121" s="109">
        <v>12</v>
      </c>
      <c r="G121" s="147">
        <v>34</v>
      </c>
      <c r="H121" s="146">
        <v>30</v>
      </c>
      <c r="I121" s="209">
        <f>SUM(B121:H121)</f>
        <v>164</v>
      </c>
    </row>
    <row r="122" spans="1:9" x14ac:dyDescent="0.2">
      <c r="A122" s="103" t="s">
        <v>68</v>
      </c>
      <c r="B122" s="146">
        <v>1</v>
      </c>
      <c r="C122" s="109">
        <v>3</v>
      </c>
      <c r="D122" s="147">
        <v>5</v>
      </c>
      <c r="E122" s="146">
        <v>5</v>
      </c>
      <c r="F122" s="109">
        <v>4</v>
      </c>
      <c r="G122" s="147">
        <v>3</v>
      </c>
      <c r="H122" s="146">
        <v>6</v>
      </c>
      <c r="I122" s="209">
        <f>SUM(B122:H122)</f>
        <v>27</v>
      </c>
    </row>
    <row r="123" spans="1:9" x14ac:dyDescent="0.2">
      <c r="A123" s="103" t="s">
        <v>31</v>
      </c>
      <c r="B123" s="146">
        <v>176</v>
      </c>
      <c r="C123" s="109">
        <v>131</v>
      </c>
      <c r="D123" s="147">
        <v>212</v>
      </c>
      <c r="E123" s="146">
        <v>175</v>
      </c>
      <c r="F123" s="109">
        <v>174</v>
      </c>
      <c r="G123" s="147">
        <v>244</v>
      </c>
      <c r="H123" s="146">
        <v>220</v>
      </c>
      <c r="I123" s="209">
        <f>SUM(B123:H123)</f>
        <v>1332</v>
      </c>
    </row>
    <row r="124" spans="1:9" x14ac:dyDescent="0.2">
      <c r="A124" s="106" t="s">
        <v>24</v>
      </c>
      <c r="B124" s="177">
        <f t="shared" ref="B124:H124" si="23">SUM(B116:B123)</f>
        <v>582</v>
      </c>
      <c r="C124" s="175">
        <f t="shared" si="23"/>
        <v>509</v>
      </c>
      <c r="D124" s="176">
        <f t="shared" si="23"/>
        <v>815</v>
      </c>
      <c r="E124" s="177">
        <f t="shared" si="23"/>
        <v>721</v>
      </c>
      <c r="F124" s="175">
        <f t="shared" si="23"/>
        <v>730</v>
      </c>
      <c r="G124" s="176">
        <f t="shared" si="23"/>
        <v>753</v>
      </c>
      <c r="H124" s="177">
        <f t="shared" si="23"/>
        <v>874</v>
      </c>
      <c r="I124" s="208">
        <f>SUM(B124:H124)</f>
        <v>4984</v>
      </c>
    </row>
    <row r="125" spans="1:9" x14ac:dyDescent="0.2">
      <c r="A125" s="99" t="s">
        <v>17</v>
      </c>
      <c r="B125" s="120">
        <v>46023</v>
      </c>
      <c r="C125" s="120">
        <v>46054</v>
      </c>
      <c r="D125" s="120">
        <v>46082</v>
      </c>
      <c r="E125" s="120">
        <v>46113</v>
      </c>
      <c r="F125" s="120">
        <v>46143</v>
      </c>
      <c r="G125" s="120">
        <v>46174</v>
      </c>
      <c r="H125" s="120">
        <v>46204</v>
      </c>
      <c r="I125" s="199"/>
    </row>
    <row r="126" spans="1:9" x14ac:dyDescent="0.2">
      <c r="A126" s="105" t="s">
        <v>62</v>
      </c>
      <c r="B126" s="360">
        <f t="shared" ref="B126:H133" si="24">B116/B$124</f>
        <v>5.1546391752577319E-3</v>
      </c>
      <c r="C126" s="361">
        <f t="shared" si="24"/>
        <v>7.8585461689587421E-3</v>
      </c>
      <c r="D126" s="362">
        <f t="shared" si="24"/>
        <v>1.3496932515337423E-2</v>
      </c>
      <c r="E126" s="360">
        <f t="shared" si="24"/>
        <v>5.5478502080443829E-3</v>
      </c>
      <c r="F126" s="361">
        <f t="shared" si="24"/>
        <v>1.9178082191780823E-2</v>
      </c>
      <c r="G126" s="362">
        <f t="shared" si="24"/>
        <v>1.4608233731739707E-2</v>
      </c>
      <c r="H126" s="360">
        <f t="shared" si="24"/>
        <v>1.4874141876430207E-2</v>
      </c>
      <c r="I126" s="384">
        <f>I116/$I$124</f>
        <v>1.2038523274478331E-2</v>
      </c>
    </row>
    <row r="127" spans="1:9" x14ac:dyDescent="0.2">
      <c r="A127" s="103" t="s">
        <v>63</v>
      </c>
      <c r="B127" s="172">
        <f t="shared" si="24"/>
        <v>0.15120274914089346</v>
      </c>
      <c r="C127" s="170">
        <f t="shared" si="24"/>
        <v>0.12770137524557956</v>
      </c>
      <c r="D127" s="171">
        <f t="shared" si="24"/>
        <v>0.11288343558282209</v>
      </c>
      <c r="E127" s="172">
        <f t="shared" si="24"/>
        <v>0.13176144244105409</v>
      </c>
      <c r="F127" s="170">
        <f t="shared" si="24"/>
        <v>0.10684931506849316</v>
      </c>
      <c r="G127" s="171">
        <f t="shared" si="24"/>
        <v>9.6945551128818058E-2</v>
      </c>
      <c r="H127" s="172">
        <f t="shared" si="24"/>
        <v>0.11212814645308924</v>
      </c>
      <c r="I127" s="384">
        <f t="shared" ref="I127:I133" si="25">I117/$I$124</f>
        <v>0.11817817014446227</v>
      </c>
    </row>
    <row r="128" spans="1:9" x14ac:dyDescent="0.2">
      <c r="A128" s="103" t="s">
        <v>64</v>
      </c>
      <c r="B128" s="172">
        <f t="shared" si="24"/>
        <v>0.22164948453608246</v>
      </c>
      <c r="C128" s="170">
        <f t="shared" si="24"/>
        <v>0.26522593320235754</v>
      </c>
      <c r="D128" s="171">
        <f t="shared" si="24"/>
        <v>0.24294478527607363</v>
      </c>
      <c r="E128" s="172">
        <f t="shared" si="24"/>
        <v>0.25520110957004161</v>
      </c>
      <c r="F128" s="170">
        <f t="shared" si="24"/>
        <v>0.3</v>
      </c>
      <c r="G128" s="171">
        <f t="shared" si="24"/>
        <v>0.25896414342629481</v>
      </c>
      <c r="H128" s="172">
        <f t="shared" si="24"/>
        <v>0.27574370709382151</v>
      </c>
      <c r="I128" s="384">
        <f t="shared" si="25"/>
        <v>0.26103531300160515</v>
      </c>
    </row>
    <row r="129" spans="1:9" x14ac:dyDescent="0.2">
      <c r="A129" s="103" t="s">
        <v>65</v>
      </c>
      <c r="B129" s="172">
        <f t="shared" si="24"/>
        <v>0.14948453608247422</v>
      </c>
      <c r="C129" s="170">
        <f t="shared" si="24"/>
        <v>0.18074656188605109</v>
      </c>
      <c r="D129" s="171">
        <f t="shared" si="24"/>
        <v>0.20613496932515338</v>
      </c>
      <c r="E129" s="172">
        <f t="shared" si="24"/>
        <v>0.18862690707350901</v>
      </c>
      <c r="F129" s="170">
        <f t="shared" si="24"/>
        <v>0.2</v>
      </c>
      <c r="G129" s="171">
        <f t="shared" si="24"/>
        <v>0.14741035856573706</v>
      </c>
      <c r="H129" s="172">
        <f t="shared" si="24"/>
        <v>0.17048054919908467</v>
      </c>
      <c r="I129" s="384">
        <f t="shared" si="25"/>
        <v>0.17837078651685392</v>
      </c>
    </row>
    <row r="130" spans="1:9" x14ac:dyDescent="0.2">
      <c r="A130" s="103" t="s">
        <v>66</v>
      </c>
      <c r="B130" s="172">
        <f t="shared" si="24"/>
        <v>0.13573883161512026</v>
      </c>
      <c r="C130" s="170">
        <f t="shared" si="24"/>
        <v>0.12966601178781925</v>
      </c>
      <c r="D130" s="171">
        <f t="shared" si="24"/>
        <v>0.12392638036809817</v>
      </c>
      <c r="E130" s="172">
        <f t="shared" si="24"/>
        <v>0.13037447988904299</v>
      </c>
      <c r="F130" s="170">
        <f t="shared" si="24"/>
        <v>0.11369863013698631</v>
      </c>
      <c r="G130" s="171">
        <f t="shared" si="24"/>
        <v>0.10889774236387782</v>
      </c>
      <c r="H130" s="172">
        <f t="shared" si="24"/>
        <v>0.13386727688787187</v>
      </c>
      <c r="I130" s="384">
        <f t="shared" si="25"/>
        <v>0.12479935794542536</v>
      </c>
    </row>
    <row r="131" spans="1:9" x14ac:dyDescent="0.2">
      <c r="A131" s="103" t="s">
        <v>67</v>
      </c>
      <c r="B131" s="172">
        <f t="shared" si="24"/>
        <v>3.2646048109965638E-2</v>
      </c>
      <c r="C131" s="170">
        <f t="shared" si="24"/>
        <v>2.5540275049115914E-2</v>
      </c>
      <c r="D131" s="171">
        <f t="shared" si="24"/>
        <v>3.4355828220858899E-2</v>
      </c>
      <c r="E131" s="172">
        <f t="shared" si="24"/>
        <v>3.8834951456310676E-2</v>
      </c>
      <c r="F131" s="170">
        <f t="shared" si="24"/>
        <v>1.643835616438356E-2</v>
      </c>
      <c r="G131" s="171">
        <f t="shared" si="24"/>
        <v>4.5152722443559098E-2</v>
      </c>
      <c r="H131" s="172">
        <f t="shared" si="24"/>
        <v>3.4324942791762014E-2</v>
      </c>
      <c r="I131" s="384">
        <f t="shared" si="25"/>
        <v>3.2905296950240769E-2</v>
      </c>
    </row>
    <row r="132" spans="1:9" x14ac:dyDescent="0.2">
      <c r="A132" s="103" t="s">
        <v>68</v>
      </c>
      <c r="B132" s="172">
        <f t="shared" si="24"/>
        <v>1.718213058419244E-3</v>
      </c>
      <c r="C132" s="170">
        <f t="shared" si="24"/>
        <v>5.893909626719057E-3</v>
      </c>
      <c r="D132" s="171">
        <f t="shared" si="24"/>
        <v>6.1349693251533744E-3</v>
      </c>
      <c r="E132" s="172">
        <f t="shared" si="24"/>
        <v>6.9348127600554789E-3</v>
      </c>
      <c r="F132" s="170">
        <f t="shared" si="24"/>
        <v>5.4794520547945206E-3</v>
      </c>
      <c r="G132" s="171">
        <f t="shared" si="24"/>
        <v>3.9840637450199202E-3</v>
      </c>
      <c r="H132" s="172">
        <f t="shared" si="24"/>
        <v>6.8649885583524023E-3</v>
      </c>
      <c r="I132" s="384">
        <f t="shared" si="25"/>
        <v>5.4173354735152484E-3</v>
      </c>
    </row>
    <row r="133" spans="1:9" x14ac:dyDescent="0.2">
      <c r="A133" s="107" t="s">
        <v>31</v>
      </c>
      <c r="B133" s="160">
        <f t="shared" si="24"/>
        <v>0.30240549828178692</v>
      </c>
      <c r="C133" s="158">
        <f t="shared" si="24"/>
        <v>0.25736738703339884</v>
      </c>
      <c r="D133" s="159">
        <f t="shared" si="24"/>
        <v>0.26012269938650306</v>
      </c>
      <c r="E133" s="160">
        <f t="shared" si="24"/>
        <v>0.24271844660194175</v>
      </c>
      <c r="F133" s="158">
        <f t="shared" si="24"/>
        <v>0.23835616438356164</v>
      </c>
      <c r="G133" s="159">
        <f t="shared" si="24"/>
        <v>0.32403718459495351</v>
      </c>
      <c r="H133" s="160">
        <f t="shared" si="24"/>
        <v>0.25171624713958812</v>
      </c>
      <c r="I133" s="384">
        <f t="shared" si="25"/>
        <v>0.26725521669341895</v>
      </c>
    </row>
    <row r="134" spans="1:9" x14ac:dyDescent="0.2">
      <c r="A134" s="269"/>
      <c r="B134" s="229"/>
      <c r="C134" s="142"/>
      <c r="D134" s="143"/>
      <c r="E134" s="141"/>
      <c r="F134" s="142"/>
      <c r="G134" s="143"/>
      <c r="H134" s="181"/>
      <c r="I134" s="209"/>
    </row>
    <row r="135" spans="1:9" x14ac:dyDescent="0.2">
      <c r="A135" s="106"/>
      <c r="B135" s="312"/>
      <c r="C135" s="313"/>
      <c r="D135" s="131"/>
      <c r="E135" s="129"/>
      <c r="F135" s="130"/>
      <c r="G135" s="131"/>
      <c r="H135" s="258"/>
      <c r="I135" s="355"/>
    </row>
    <row r="136" spans="1:9" x14ac:dyDescent="0.2">
      <c r="A136" s="101" t="s">
        <v>69</v>
      </c>
      <c r="B136" s="190"/>
      <c r="C136" s="191"/>
      <c r="D136" s="192"/>
      <c r="E136" s="190"/>
      <c r="F136" s="191"/>
      <c r="G136" s="192"/>
      <c r="H136" s="398"/>
      <c r="I136" s="372"/>
    </row>
    <row r="137" spans="1:9" x14ac:dyDescent="0.2">
      <c r="A137" s="99" t="s">
        <v>70</v>
      </c>
      <c r="B137" s="120">
        <v>46023</v>
      </c>
      <c r="C137" s="120">
        <v>46054</v>
      </c>
      <c r="D137" s="120">
        <v>46082</v>
      </c>
      <c r="E137" s="120">
        <v>46113</v>
      </c>
      <c r="F137" s="120">
        <v>46143</v>
      </c>
      <c r="G137" s="120">
        <v>46174</v>
      </c>
      <c r="H137" s="120">
        <v>46204</v>
      </c>
      <c r="I137" s="199" t="s">
        <v>7</v>
      </c>
    </row>
    <row r="138" spans="1:9" x14ac:dyDescent="0.2">
      <c r="A138" s="105" t="s">
        <v>71</v>
      </c>
      <c r="B138" s="347">
        <v>194</v>
      </c>
      <c r="C138" s="348">
        <v>178</v>
      </c>
      <c r="D138" s="349">
        <v>282</v>
      </c>
      <c r="E138" s="347">
        <v>248</v>
      </c>
      <c r="F138" s="348">
        <v>287</v>
      </c>
      <c r="G138" s="349">
        <v>242</v>
      </c>
      <c r="H138" s="347">
        <v>320</v>
      </c>
      <c r="I138" s="209">
        <f>SUM(B138:H138)</f>
        <v>1751</v>
      </c>
    </row>
    <row r="139" spans="1:9" x14ac:dyDescent="0.2">
      <c r="A139" s="103" t="s">
        <v>72</v>
      </c>
      <c r="B139" s="146">
        <v>187</v>
      </c>
      <c r="C139" s="109">
        <v>177</v>
      </c>
      <c r="D139" s="147">
        <v>265</v>
      </c>
      <c r="E139" s="146">
        <v>240</v>
      </c>
      <c r="F139" s="109">
        <v>236</v>
      </c>
      <c r="G139" s="147">
        <v>228</v>
      </c>
      <c r="H139" s="146">
        <v>277</v>
      </c>
      <c r="I139" s="209">
        <f>SUM(B139:H139)</f>
        <v>1610</v>
      </c>
    </row>
    <row r="140" spans="1:9" x14ac:dyDescent="0.2">
      <c r="A140" s="103" t="s">
        <v>55</v>
      </c>
      <c r="B140" s="146">
        <v>201</v>
      </c>
      <c r="C140" s="109">
        <v>154</v>
      </c>
      <c r="D140" s="147">
        <v>268</v>
      </c>
      <c r="E140" s="146">
        <v>233</v>
      </c>
      <c r="F140" s="109">
        <v>207</v>
      </c>
      <c r="G140" s="147">
        <v>283</v>
      </c>
      <c r="H140" s="146">
        <v>277</v>
      </c>
      <c r="I140" s="209">
        <f>SUM(B140:H140)</f>
        <v>1623</v>
      </c>
    </row>
    <row r="141" spans="1:9" x14ac:dyDescent="0.2">
      <c r="A141" s="106" t="s">
        <v>24</v>
      </c>
      <c r="B141" s="177">
        <f t="shared" ref="B141:H141" si="26">SUM(B138:B140)</f>
        <v>582</v>
      </c>
      <c r="C141" s="175">
        <f t="shared" si="26"/>
        <v>509</v>
      </c>
      <c r="D141" s="176">
        <f t="shared" si="26"/>
        <v>815</v>
      </c>
      <c r="E141" s="177">
        <f t="shared" si="26"/>
        <v>721</v>
      </c>
      <c r="F141" s="175">
        <f t="shared" si="26"/>
        <v>730</v>
      </c>
      <c r="G141" s="176">
        <f t="shared" si="26"/>
        <v>753</v>
      </c>
      <c r="H141" s="177">
        <f t="shared" si="26"/>
        <v>874</v>
      </c>
      <c r="I141" s="208">
        <f>SUM(B141:H141)</f>
        <v>4984</v>
      </c>
    </row>
    <row r="142" spans="1:9" x14ac:dyDescent="0.2">
      <c r="A142" s="99" t="s">
        <v>17</v>
      </c>
      <c r="B142" s="120">
        <v>46023</v>
      </c>
      <c r="C142" s="120">
        <v>46054</v>
      </c>
      <c r="D142" s="120">
        <v>46082</v>
      </c>
      <c r="E142" s="120">
        <v>46113</v>
      </c>
      <c r="F142" s="120">
        <v>46143</v>
      </c>
      <c r="G142" s="120">
        <v>46174</v>
      </c>
      <c r="H142" s="120">
        <v>46204</v>
      </c>
      <c r="I142" s="199"/>
    </row>
    <row r="143" spans="1:9" x14ac:dyDescent="0.2">
      <c r="A143" s="105" t="s">
        <v>71</v>
      </c>
      <c r="B143" s="360">
        <f t="shared" ref="B143:H145" si="27">B138/B$141</f>
        <v>0.33333333333333331</v>
      </c>
      <c r="C143" s="361">
        <f t="shared" si="27"/>
        <v>0.34970530451866405</v>
      </c>
      <c r="D143" s="362">
        <f t="shared" si="27"/>
        <v>0.34601226993865031</v>
      </c>
      <c r="E143" s="360">
        <f t="shared" si="27"/>
        <v>0.34396671289875175</v>
      </c>
      <c r="F143" s="361">
        <f t="shared" si="27"/>
        <v>0.39315068493150684</v>
      </c>
      <c r="G143" s="362">
        <f t="shared" si="27"/>
        <v>0.32138114209827356</v>
      </c>
      <c r="H143" s="360">
        <f t="shared" si="27"/>
        <v>0.36613272311212813</v>
      </c>
      <c r="I143" s="384">
        <f>I138/$I$141</f>
        <v>0.3513242375601926</v>
      </c>
    </row>
    <row r="144" spans="1:9" x14ac:dyDescent="0.2">
      <c r="A144" s="103" t="s">
        <v>72</v>
      </c>
      <c r="B144" s="172">
        <f t="shared" si="27"/>
        <v>0.32130584192439865</v>
      </c>
      <c r="C144" s="170">
        <f t="shared" si="27"/>
        <v>0.34774066797642439</v>
      </c>
      <c r="D144" s="171">
        <f t="shared" si="27"/>
        <v>0.32515337423312884</v>
      </c>
      <c r="E144" s="172">
        <f t="shared" si="27"/>
        <v>0.33287101248266299</v>
      </c>
      <c r="F144" s="170">
        <f t="shared" si="27"/>
        <v>0.32328767123287672</v>
      </c>
      <c r="G144" s="171">
        <f t="shared" si="27"/>
        <v>0.30278884462151395</v>
      </c>
      <c r="H144" s="172">
        <f t="shared" si="27"/>
        <v>0.31693363844393591</v>
      </c>
      <c r="I144" s="384">
        <f t="shared" ref="I144:I145" si="28">I139/$I$141</f>
        <v>0.32303370786516855</v>
      </c>
    </row>
    <row r="145" spans="1:9" x14ac:dyDescent="0.2">
      <c r="A145" s="107" t="s">
        <v>55</v>
      </c>
      <c r="B145" s="160">
        <f t="shared" si="27"/>
        <v>0.34536082474226804</v>
      </c>
      <c r="C145" s="158">
        <f t="shared" si="27"/>
        <v>0.30255402750491162</v>
      </c>
      <c r="D145" s="159">
        <f t="shared" si="27"/>
        <v>0.32883435582822085</v>
      </c>
      <c r="E145" s="160">
        <f t="shared" si="27"/>
        <v>0.32316227461858532</v>
      </c>
      <c r="F145" s="158">
        <f t="shared" si="27"/>
        <v>0.28356164383561644</v>
      </c>
      <c r="G145" s="159">
        <f t="shared" si="27"/>
        <v>0.37583001328021248</v>
      </c>
      <c r="H145" s="160">
        <f t="shared" si="27"/>
        <v>0.31693363844393591</v>
      </c>
      <c r="I145" s="384">
        <f t="shared" si="28"/>
        <v>0.32564205457463885</v>
      </c>
    </row>
    <row r="146" spans="1:9" x14ac:dyDescent="0.2">
      <c r="A146" s="270"/>
      <c r="B146" s="141"/>
      <c r="C146" s="142"/>
      <c r="D146" s="143"/>
      <c r="E146" s="141"/>
      <c r="F146" s="142"/>
      <c r="G146" s="143"/>
      <c r="H146" s="181"/>
      <c r="I146" s="209"/>
    </row>
    <row r="147" spans="1:9" x14ac:dyDescent="0.2">
      <c r="A147" s="271"/>
      <c r="B147" s="129"/>
      <c r="C147" s="130"/>
      <c r="D147" s="131"/>
      <c r="E147" s="129"/>
      <c r="F147" s="130"/>
      <c r="G147" s="131"/>
      <c r="H147" s="258"/>
      <c r="I147" s="355"/>
    </row>
    <row r="148" spans="1:9" x14ac:dyDescent="0.2">
      <c r="A148" s="99" t="s">
        <v>73</v>
      </c>
      <c r="B148" s="120">
        <v>46023</v>
      </c>
      <c r="C148" s="120">
        <v>46054</v>
      </c>
      <c r="D148" s="120">
        <v>46082</v>
      </c>
      <c r="E148" s="120">
        <v>46113</v>
      </c>
      <c r="F148" s="120">
        <v>46143</v>
      </c>
      <c r="G148" s="120">
        <v>46174</v>
      </c>
      <c r="H148" s="120">
        <v>46204</v>
      </c>
      <c r="I148" s="199" t="s">
        <v>7</v>
      </c>
    </row>
    <row r="149" spans="1:9" x14ac:dyDescent="0.2">
      <c r="A149" s="105" t="s">
        <v>72</v>
      </c>
      <c r="B149" s="347">
        <v>341</v>
      </c>
      <c r="C149" s="348">
        <v>328</v>
      </c>
      <c r="D149" s="349">
        <v>505</v>
      </c>
      <c r="E149" s="347">
        <v>435</v>
      </c>
      <c r="F149" s="348">
        <v>399</v>
      </c>
      <c r="G149" s="349">
        <v>396</v>
      </c>
      <c r="H149" s="347">
        <v>541</v>
      </c>
      <c r="I149" s="209">
        <f>SUM(B149:H149)</f>
        <v>2945</v>
      </c>
    </row>
    <row r="150" spans="1:9" x14ac:dyDescent="0.2">
      <c r="A150" s="103" t="s">
        <v>71</v>
      </c>
      <c r="B150" s="146">
        <v>36</v>
      </c>
      <c r="C150" s="109">
        <v>36</v>
      </c>
      <c r="D150" s="147">
        <v>69</v>
      </c>
      <c r="E150" s="146">
        <v>61</v>
      </c>
      <c r="F150" s="109">
        <v>64</v>
      </c>
      <c r="G150" s="147">
        <v>71</v>
      </c>
      <c r="H150" s="146">
        <v>66</v>
      </c>
      <c r="I150" s="209">
        <f>SUM(B150:H150)</f>
        <v>403</v>
      </c>
    </row>
    <row r="151" spans="1:9" x14ac:dyDescent="0.2">
      <c r="A151" s="103" t="s">
        <v>74</v>
      </c>
      <c r="B151" s="146">
        <v>205</v>
      </c>
      <c r="C151" s="109">
        <v>145</v>
      </c>
      <c r="D151" s="147">
        <v>241</v>
      </c>
      <c r="E151" s="146">
        <v>225</v>
      </c>
      <c r="F151" s="109">
        <v>267</v>
      </c>
      <c r="G151" s="147">
        <v>286</v>
      </c>
      <c r="H151" s="146">
        <v>267</v>
      </c>
      <c r="I151" s="209">
        <f>SUM(B151:H151)</f>
        <v>1636</v>
      </c>
    </row>
    <row r="152" spans="1:9" x14ac:dyDescent="0.2">
      <c r="A152" s="106" t="s">
        <v>24</v>
      </c>
      <c r="B152" s="177">
        <f t="shared" ref="B152:H152" si="29">SUM(B149:B151)</f>
        <v>582</v>
      </c>
      <c r="C152" s="175">
        <f t="shared" si="29"/>
        <v>509</v>
      </c>
      <c r="D152" s="176">
        <f t="shared" si="29"/>
        <v>815</v>
      </c>
      <c r="E152" s="177">
        <f t="shared" si="29"/>
        <v>721</v>
      </c>
      <c r="F152" s="175">
        <f t="shared" si="29"/>
        <v>730</v>
      </c>
      <c r="G152" s="176">
        <f t="shared" si="29"/>
        <v>753</v>
      </c>
      <c r="H152" s="177">
        <f t="shared" si="29"/>
        <v>874</v>
      </c>
      <c r="I152" s="208">
        <f>SUM(B152:H152)</f>
        <v>4984</v>
      </c>
    </row>
    <row r="153" spans="1:9" x14ac:dyDescent="0.2">
      <c r="A153" s="99" t="s">
        <v>17</v>
      </c>
      <c r="B153" s="120">
        <v>46023</v>
      </c>
      <c r="C153" s="120">
        <v>46054</v>
      </c>
      <c r="D153" s="120">
        <v>46082</v>
      </c>
      <c r="E153" s="120">
        <v>46113</v>
      </c>
      <c r="F153" s="120">
        <v>46143</v>
      </c>
      <c r="G153" s="120">
        <v>46174</v>
      </c>
      <c r="H153" s="120">
        <v>46204</v>
      </c>
      <c r="I153" s="199"/>
    </row>
    <row r="154" spans="1:9" x14ac:dyDescent="0.2">
      <c r="A154" s="105" t="s">
        <v>72</v>
      </c>
      <c r="B154" s="360">
        <f t="shared" ref="B154:H156" si="30">B149/B$152</f>
        <v>0.58591065292096223</v>
      </c>
      <c r="C154" s="361">
        <f t="shared" si="30"/>
        <v>0.64440078585461691</v>
      </c>
      <c r="D154" s="362">
        <f t="shared" si="30"/>
        <v>0.61963190184049077</v>
      </c>
      <c r="E154" s="360">
        <f t="shared" si="30"/>
        <v>0.60332871012482658</v>
      </c>
      <c r="F154" s="361">
        <f t="shared" si="30"/>
        <v>0.54657534246575346</v>
      </c>
      <c r="G154" s="362">
        <f t="shared" si="30"/>
        <v>0.52589641434262946</v>
      </c>
      <c r="H154" s="360">
        <f t="shared" si="30"/>
        <v>0.6189931350114416</v>
      </c>
      <c r="I154" s="384">
        <f>I149/$I$152</f>
        <v>0.5908908507223114</v>
      </c>
    </row>
    <row r="155" spans="1:9" x14ac:dyDescent="0.2">
      <c r="A155" s="103" t="s">
        <v>71</v>
      </c>
      <c r="B155" s="172">
        <f t="shared" si="30"/>
        <v>6.1855670103092786E-2</v>
      </c>
      <c r="C155" s="170">
        <f t="shared" si="30"/>
        <v>7.072691552062868E-2</v>
      </c>
      <c r="D155" s="171">
        <f t="shared" si="30"/>
        <v>8.4662576687116561E-2</v>
      </c>
      <c r="E155" s="172">
        <f t="shared" si="30"/>
        <v>8.4604715672676842E-2</v>
      </c>
      <c r="F155" s="170">
        <f t="shared" si="30"/>
        <v>8.7671232876712329E-2</v>
      </c>
      <c r="G155" s="171">
        <f t="shared" si="30"/>
        <v>9.4289508632138114E-2</v>
      </c>
      <c r="H155" s="172">
        <f t="shared" si="30"/>
        <v>7.5514874141876437E-2</v>
      </c>
      <c r="I155" s="384">
        <f t="shared" ref="I155:I156" si="31">I150/$I$152</f>
        <v>8.085874799357945E-2</v>
      </c>
    </row>
    <row r="156" spans="1:9" x14ac:dyDescent="0.2">
      <c r="A156" s="107" t="s">
        <v>74</v>
      </c>
      <c r="B156" s="160">
        <f t="shared" si="30"/>
        <v>0.35223367697594504</v>
      </c>
      <c r="C156" s="158">
        <f t="shared" si="30"/>
        <v>0.28487229862475444</v>
      </c>
      <c r="D156" s="159">
        <f t="shared" si="30"/>
        <v>0.29570552147239265</v>
      </c>
      <c r="E156" s="160">
        <f t="shared" si="30"/>
        <v>0.31206657420249651</v>
      </c>
      <c r="F156" s="158">
        <f t="shared" si="30"/>
        <v>0.36575342465753424</v>
      </c>
      <c r="G156" s="159">
        <f t="shared" si="30"/>
        <v>0.3798140770252324</v>
      </c>
      <c r="H156" s="160">
        <f t="shared" si="30"/>
        <v>0.30549199084668194</v>
      </c>
      <c r="I156" s="384">
        <f t="shared" si="31"/>
        <v>0.32825040128410915</v>
      </c>
    </row>
    <row r="157" spans="1:9" x14ac:dyDescent="0.2">
      <c r="A157" s="105"/>
      <c r="B157" s="229"/>
      <c r="C157" s="144"/>
      <c r="D157" s="143"/>
      <c r="E157" s="141"/>
      <c r="F157" s="142"/>
      <c r="G157" s="143"/>
      <c r="H157" s="181"/>
      <c r="I157" s="209"/>
    </row>
    <row r="158" spans="1:9" x14ac:dyDescent="0.2">
      <c r="A158" s="106"/>
      <c r="B158" s="312"/>
      <c r="C158" s="313"/>
      <c r="D158" s="131"/>
      <c r="E158" s="129"/>
      <c r="F158" s="130"/>
      <c r="G158" s="131"/>
      <c r="H158" s="258"/>
      <c r="I158" s="355"/>
    </row>
    <row r="159" spans="1:9" x14ac:dyDescent="0.2">
      <c r="A159" s="99" t="s">
        <v>75</v>
      </c>
      <c r="B159" s="120">
        <v>46023</v>
      </c>
      <c r="C159" s="120">
        <v>46054</v>
      </c>
      <c r="D159" s="120">
        <v>46082</v>
      </c>
      <c r="E159" s="120">
        <v>46113</v>
      </c>
      <c r="F159" s="120">
        <v>46143</v>
      </c>
      <c r="G159" s="120">
        <v>46174</v>
      </c>
      <c r="H159" s="120">
        <v>46204</v>
      </c>
      <c r="I159" s="336" t="s">
        <v>7</v>
      </c>
    </row>
    <row r="160" spans="1:9" x14ac:dyDescent="0.2">
      <c r="A160" s="105" t="s">
        <v>72</v>
      </c>
      <c r="B160" s="141">
        <v>112</v>
      </c>
      <c r="C160" s="142">
        <v>105</v>
      </c>
      <c r="D160" s="143">
        <v>157</v>
      </c>
      <c r="E160" s="141">
        <v>189</v>
      </c>
      <c r="F160" s="142">
        <v>169</v>
      </c>
      <c r="G160" s="143">
        <v>149</v>
      </c>
      <c r="H160" s="141">
        <v>188</v>
      </c>
      <c r="I160" s="209">
        <f>SUM(B160:H160)</f>
        <v>1069</v>
      </c>
    </row>
    <row r="161" spans="1:9" x14ac:dyDescent="0.2">
      <c r="A161" s="103" t="s">
        <v>71</v>
      </c>
      <c r="B161" s="146">
        <v>470</v>
      </c>
      <c r="C161" s="109">
        <v>404</v>
      </c>
      <c r="D161" s="147">
        <v>658</v>
      </c>
      <c r="E161" s="146">
        <v>532</v>
      </c>
      <c r="F161" s="109">
        <v>561</v>
      </c>
      <c r="G161" s="147">
        <v>604</v>
      </c>
      <c r="H161" s="146">
        <v>686</v>
      </c>
      <c r="I161" s="214">
        <f>SUM(B161:H161)</f>
        <v>3915</v>
      </c>
    </row>
    <row r="162" spans="1:9" x14ac:dyDescent="0.2">
      <c r="A162" s="106" t="s">
        <v>31</v>
      </c>
      <c r="B162" s="129"/>
      <c r="C162" s="130"/>
      <c r="D162" s="131"/>
      <c r="E162" s="129"/>
      <c r="F162" s="130"/>
      <c r="G162" s="131"/>
      <c r="H162" s="258"/>
      <c r="I162" s="355"/>
    </row>
    <row r="163" spans="1:9" x14ac:dyDescent="0.2">
      <c r="A163" s="99" t="s">
        <v>24</v>
      </c>
      <c r="B163" s="139">
        <f t="shared" ref="B163:H163" si="32">SUM(B160:B162)</f>
        <v>582</v>
      </c>
      <c r="C163" s="137">
        <f t="shared" si="32"/>
        <v>509</v>
      </c>
      <c r="D163" s="138">
        <f t="shared" si="32"/>
        <v>815</v>
      </c>
      <c r="E163" s="139">
        <f t="shared" si="32"/>
        <v>721</v>
      </c>
      <c r="F163" s="137">
        <f t="shared" si="32"/>
        <v>730</v>
      </c>
      <c r="G163" s="138">
        <f t="shared" si="32"/>
        <v>753</v>
      </c>
      <c r="H163" s="139">
        <f t="shared" si="32"/>
        <v>874</v>
      </c>
      <c r="I163" s="199">
        <f>SUM(B163:H163)</f>
        <v>4984</v>
      </c>
    </row>
    <row r="164" spans="1:9" x14ac:dyDescent="0.2">
      <c r="A164" s="98" t="s">
        <v>17</v>
      </c>
      <c r="B164" s="120">
        <v>46023</v>
      </c>
      <c r="C164" s="120">
        <v>46054</v>
      </c>
      <c r="D164" s="120">
        <v>46082</v>
      </c>
      <c r="E164" s="120">
        <v>46113</v>
      </c>
      <c r="F164" s="120">
        <v>46143</v>
      </c>
      <c r="G164" s="120">
        <v>46174</v>
      </c>
      <c r="H164" s="120">
        <v>46204</v>
      </c>
      <c r="I164" s="373"/>
    </row>
    <row r="165" spans="1:9" x14ac:dyDescent="0.2">
      <c r="A165" s="105" t="s">
        <v>72</v>
      </c>
      <c r="B165" s="229">
        <f t="shared" ref="B165:H166" si="33">B160/B$163</f>
        <v>0.19243986254295534</v>
      </c>
      <c r="C165" s="144">
        <f t="shared" si="33"/>
        <v>0.206286836935167</v>
      </c>
      <c r="D165" s="230">
        <f t="shared" si="33"/>
        <v>0.19263803680981595</v>
      </c>
      <c r="E165" s="229">
        <f t="shared" si="33"/>
        <v>0.26213592233009708</v>
      </c>
      <c r="F165" s="144">
        <f t="shared" si="33"/>
        <v>0.23150684931506849</v>
      </c>
      <c r="G165" s="230">
        <f t="shared" si="33"/>
        <v>0.19787516600265603</v>
      </c>
      <c r="H165" s="229">
        <f t="shared" si="33"/>
        <v>0.21510297482837529</v>
      </c>
      <c r="I165" s="384">
        <f>I160/$I$163</f>
        <v>0.21448635634028893</v>
      </c>
    </row>
    <row r="166" spans="1:9" x14ac:dyDescent="0.2">
      <c r="A166" s="103" t="s">
        <v>71</v>
      </c>
      <c r="B166" s="172">
        <f t="shared" si="33"/>
        <v>0.80756013745704469</v>
      </c>
      <c r="C166" s="170">
        <f t="shared" si="33"/>
        <v>0.79371316306483297</v>
      </c>
      <c r="D166" s="171">
        <f t="shared" si="33"/>
        <v>0.80736196319018405</v>
      </c>
      <c r="E166" s="172">
        <f t="shared" si="33"/>
        <v>0.73786407766990292</v>
      </c>
      <c r="F166" s="170">
        <f t="shared" si="33"/>
        <v>0.76849315068493151</v>
      </c>
      <c r="G166" s="171">
        <f t="shared" si="33"/>
        <v>0.80212483399734391</v>
      </c>
      <c r="H166" s="172">
        <f t="shared" si="33"/>
        <v>0.78489702517162474</v>
      </c>
      <c r="I166" s="384">
        <f>I161/$I$163</f>
        <v>0.7855136436597111</v>
      </c>
    </row>
    <row r="167" spans="1:9" x14ac:dyDescent="0.2">
      <c r="A167" s="103" t="s">
        <v>31</v>
      </c>
      <c r="B167" s="172"/>
      <c r="C167" s="170"/>
      <c r="D167" s="171"/>
      <c r="E167" s="172"/>
      <c r="F167" s="170"/>
      <c r="G167" s="171"/>
      <c r="H167" s="172"/>
      <c r="I167" s="214"/>
    </row>
    <row r="168" spans="1:9" x14ac:dyDescent="0.2">
      <c r="A168" s="106" t="s">
        <v>14</v>
      </c>
      <c r="B168" s="155"/>
      <c r="C168" s="156"/>
      <c r="D168" s="157"/>
      <c r="E168" s="155"/>
      <c r="F168" s="156"/>
      <c r="G168" s="157"/>
      <c r="H168" s="155"/>
      <c r="I168" s="355"/>
    </row>
    <row r="169" spans="1:9" x14ac:dyDescent="0.2">
      <c r="A169" s="99" t="s">
        <v>76</v>
      </c>
      <c r="B169" s="374">
        <f t="shared" ref="B169:H169" si="34">B160/B$6</f>
        <v>3.6129032258064515</v>
      </c>
      <c r="C169" s="375">
        <f t="shared" si="34"/>
        <v>3.75</v>
      </c>
      <c r="D169" s="376">
        <f t="shared" si="34"/>
        <v>5.064516129032258</v>
      </c>
      <c r="E169" s="374">
        <f t="shared" si="34"/>
        <v>6.5172413793103452</v>
      </c>
      <c r="F169" s="375">
        <f t="shared" si="34"/>
        <v>5.4516129032258061</v>
      </c>
      <c r="G169" s="376">
        <f t="shared" si="34"/>
        <v>4.9666666666666668</v>
      </c>
      <c r="H169" s="374">
        <f t="shared" si="34"/>
        <v>6.2666666666666666</v>
      </c>
      <c r="I169" s="389">
        <f t="shared" ref="I169" si="35">I160/I$6</f>
        <v>5.0904761904761902</v>
      </c>
    </row>
    <row r="170" spans="1:9" x14ac:dyDescent="0.2">
      <c r="A170" s="44"/>
      <c r="B170" s="163"/>
      <c r="C170" s="164"/>
      <c r="D170" s="165"/>
      <c r="E170" s="163"/>
      <c r="F170" s="164"/>
      <c r="G170" s="165"/>
      <c r="H170" s="401"/>
      <c r="I170" s="337"/>
    </row>
    <row r="171" spans="1:9" x14ac:dyDescent="0.2">
      <c r="A171" s="99" t="s">
        <v>77</v>
      </c>
      <c r="B171" s="120">
        <v>46023</v>
      </c>
      <c r="C171" s="120">
        <v>46054</v>
      </c>
      <c r="D171" s="120">
        <v>46082</v>
      </c>
      <c r="E171" s="120">
        <v>46113</v>
      </c>
      <c r="F171" s="120">
        <v>46143</v>
      </c>
      <c r="G171" s="120">
        <v>46174</v>
      </c>
      <c r="H171" s="120">
        <v>46204</v>
      </c>
      <c r="I171" s="199" t="s">
        <v>7</v>
      </c>
    </row>
    <row r="172" spans="1:9" x14ac:dyDescent="0.2">
      <c r="A172" s="105" t="s">
        <v>72</v>
      </c>
      <c r="B172" s="347">
        <v>240</v>
      </c>
      <c r="C172" s="348">
        <v>209</v>
      </c>
      <c r="D172" s="349">
        <v>351</v>
      </c>
      <c r="E172" s="347">
        <v>335</v>
      </c>
      <c r="F172" s="348">
        <v>299</v>
      </c>
      <c r="G172" s="349">
        <v>291</v>
      </c>
      <c r="H172" s="347">
        <v>364</v>
      </c>
      <c r="I172" s="209">
        <f>SUM(B172:H172)</f>
        <v>2089</v>
      </c>
    </row>
    <row r="173" spans="1:9" x14ac:dyDescent="0.2">
      <c r="A173" s="103" t="s">
        <v>71</v>
      </c>
      <c r="B173" s="146">
        <v>231</v>
      </c>
      <c r="C173" s="109">
        <v>237</v>
      </c>
      <c r="D173" s="147">
        <v>324</v>
      </c>
      <c r="E173" s="146">
        <v>275</v>
      </c>
      <c r="F173" s="109">
        <v>428</v>
      </c>
      <c r="G173" s="147">
        <v>462</v>
      </c>
      <c r="H173" s="146">
        <v>510</v>
      </c>
      <c r="I173" s="209">
        <f>SUM(B173:H173)</f>
        <v>2467</v>
      </c>
    </row>
    <row r="174" spans="1:9" x14ac:dyDescent="0.2">
      <c r="A174" s="106" t="s">
        <v>78</v>
      </c>
      <c r="B174" s="155">
        <v>111</v>
      </c>
      <c r="C174" s="156">
        <v>63</v>
      </c>
      <c r="D174" s="157">
        <v>140</v>
      </c>
      <c r="E174" s="155">
        <v>111</v>
      </c>
      <c r="F174" s="156">
        <v>3</v>
      </c>
      <c r="G174" s="157"/>
      <c r="H174" s="155"/>
      <c r="I174" s="209">
        <f>SUM(B174:H174)</f>
        <v>428</v>
      </c>
    </row>
    <row r="175" spans="1:9" x14ac:dyDescent="0.2">
      <c r="A175" s="99" t="s">
        <v>24</v>
      </c>
      <c r="B175" s="377">
        <f t="shared" ref="B175:H175" si="36">SUM(B172:B174)</f>
        <v>582</v>
      </c>
      <c r="C175" s="378">
        <f t="shared" si="36"/>
        <v>509</v>
      </c>
      <c r="D175" s="379">
        <f t="shared" si="36"/>
        <v>815</v>
      </c>
      <c r="E175" s="377">
        <f t="shared" si="36"/>
        <v>721</v>
      </c>
      <c r="F175" s="378">
        <f t="shared" si="36"/>
        <v>730</v>
      </c>
      <c r="G175" s="379">
        <f t="shared" si="36"/>
        <v>753</v>
      </c>
      <c r="H175" s="377">
        <f t="shared" si="36"/>
        <v>874</v>
      </c>
      <c r="I175" s="208">
        <f>SUM(B175:H175)</f>
        <v>4984</v>
      </c>
    </row>
    <row r="176" spans="1:9" x14ac:dyDescent="0.2">
      <c r="A176" s="98" t="s">
        <v>17</v>
      </c>
      <c r="B176" s="120">
        <v>46023</v>
      </c>
      <c r="C176" s="120">
        <v>46054</v>
      </c>
      <c r="D176" s="120">
        <v>46082</v>
      </c>
      <c r="E176" s="120">
        <v>46113</v>
      </c>
      <c r="F176" s="120">
        <v>46143</v>
      </c>
      <c r="G176" s="120">
        <v>46174</v>
      </c>
      <c r="H176" s="120">
        <v>46204</v>
      </c>
      <c r="I176" s="380"/>
    </row>
    <row r="177" spans="1:9" x14ac:dyDescent="0.2">
      <c r="A177" s="105" t="s">
        <v>72</v>
      </c>
      <c r="B177" s="360">
        <f t="shared" ref="B177:H179" si="37">B172/B$175</f>
        <v>0.41237113402061853</v>
      </c>
      <c r="C177" s="361">
        <f t="shared" si="37"/>
        <v>0.41060903732809428</v>
      </c>
      <c r="D177" s="362">
        <f t="shared" si="37"/>
        <v>0.43067484662576688</v>
      </c>
      <c r="E177" s="360">
        <f t="shared" si="37"/>
        <v>0.46463245492371708</v>
      </c>
      <c r="F177" s="361">
        <f t="shared" si="37"/>
        <v>0.40958904109589039</v>
      </c>
      <c r="G177" s="362">
        <f t="shared" si="37"/>
        <v>0.38645418326693226</v>
      </c>
      <c r="H177" s="360">
        <f t="shared" si="37"/>
        <v>0.41647597254004576</v>
      </c>
      <c r="I177" s="384">
        <f>I172/$I$175</f>
        <v>0.41914125200642055</v>
      </c>
    </row>
    <row r="178" spans="1:9" x14ac:dyDescent="0.2">
      <c r="A178" s="103" t="s">
        <v>71</v>
      </c>
      <c r="B178" s="172">
        <f t="shared" si="37"/>
        <v>0.39690721649484534</v>
      </c>
      <c r="C178" s="170">
        <f t="shared" si="37"/>
        <v>0.46561886051080548</v>
      </c>
      <c r="D178" s="171">
        <f t="shared" si="37"/>
        <v>0.39754601226993863</v>
      </c>
      <c r="E178" s="172">
        <f t="shared" si="37"/>
        <v>0.38141470180305131</v>
      </c>
      <c r="F178" s="170">
        <f t="shared" si="37"/>
        <v>0.58630136986301373</v>
      </c>
      <c r="G178" s="171">
        <f t="shared" si="37"/>
        <v>0.61354581673306774</v>
      </c>
      <c r="H178" s="172">
        <f t="shared" si="37"/>
        <v>0.58352402745995424</v>
      </c>
      <c r="I178" s="384">
        <f t="shared" ref="I178:I179" si="38">I173/$I$175</f>
        <v>0.49498394863563405</v>
      </c>
    </row>
    <row r="179" spans="1:9" x14ac:dyDescent="0.2">
      <c r="A179" s="106" t="s">
        <v>31</v>
      </c>
      <c r="B179" s="312">
        <f t="shared" si="37"/>
        <v>0.19072164948453607</v>
      </c>
      <c r="C179" s="313">
        <f t="shared" si="37"/>
        <v>0.1237721021611002</v>
      </c>
      <c r="D179" s="381">
        <f t="shared" si="37"/>
        <v>0.17177914110429449</v>
      </c>
      <c r="E179" s="312">
        <f t="shared" si="37"/>
        <v>0.15395284327323161</v>
      </c>
      <c r="F179" s="313">
        <f t="shared" si="37"/>
        <v>4.10958904109589E-3</v>
      </c>
      <c r="G179" s="381">
        <f t="shared" si="37"/>
        <v>0</v>
      </c>
      <c r="H179" s="312">
        <f t="shared" si="37"/>
        <v>0</v>
      </c>
      <c r="I179" s="384">
        <f t="shared" si="38"/>
        <v>8.5874799357945425E-2</v>
      </c>
    </row>
    <row r="180" spans="1:9" x14ac:dyDescent="0.2">
      <c r="A180" s="99" t="s">
        <v>14</v>
      </c>
      <c r="B180" s="120">
        <v>46023</v>
      </c>
      <c r="C180" s="120">
        <v>46054</v>
      </c>
      <c r="D180" s="120">
        <v>46082</v>
      </c>
      <c r="E180" s="120">
        <v>46113</v>
      </c>
      <c r="F180" s="120">
        <v>46143</v>
      </c>
      <c r="G180" s="120">
        <v>46174</v>
      </c>
      <c r="H180" s="120">
        <v>46204</v>
      </c>
      <c r="I180" s="199"/>
    </row>
    <row r="181" spans="1:9" x14ac:dyDescent="0.2">
      <c r="A181" s="98" t="s">
        <v>79</v>
      </c>
      <c r="B181" s="262">
        <f t="shared" ref="B181:H181" si="39">B$172/B$6</f>
        <v>7.741935483870968</v>
      </c>
      <c r="C181" s="263">
        <f t="shared" si="39"/>
        <v>7.4642857142857144</v>
      </c>
      <c r="D181" s="264">
        <f t="shared" si="39"/>
        <v>11.32258064516129</v>
      </c>
      <c r="E181" s="262">
        <f t="shared" si="39"/>
        <v>11.551724137931034</v>
      </c>
      <c r="F181" s="263">
        <f t="shared" si="39"/>
        <v>9.6451612903225801</v>
      </c>
      <c r="G181" s="264">
        <f t="shared" si="39"/>
        <v>9.6999999999999993</v>
      </c>
      <c r="H181" s="262">
        <f t="shared" si="39"/>
        <v>12.133333333333333</v>
      </c>
      <c r="I181" s="391">
        <f>I172/I6</f>
        <v>9.9476190476190478</v>
      </c>
    </row>
    <row r="182" spans="1:9" x14ac:dyDescent="0.2">
      <c r="A182" s="44"/>
      <c r="B182" s="163"/>
      <c r="C182" s="164"/>
      <c r="D182" s="165"/>
      <c r="E182" s="163"/>
      <c r="F182" s="164"/>
      <c r="G182" s="165"/>
      <c r="H182" s="401"/>
      <c r="I182" s="337"/>
    </row>
    <row r="183" spans="1:9" x14ac:dyDescent="0.2">
      <c r="A183" s="99" t="s">
        <v>80</v>
      </c>
      <c r="B183" s="120">
        <v>46023</v>
      </c>
      <c r="C183" s="120">
        <v>46054</v>
      </c>
      <c r="D183" s="120">
        <v>46082</v>
      </c>
      <c r="E183" s="120">
        <v>46113</v>
      </c>
      <c r="F183" s="120">
        <v>46143</v>
      </c>
      <c r="G183" s="120">
        <v>46174</v>
      </c>
      <c r="H183" s="120">
        <v>46204</v>
      </c>
      <c r="I183" s="199" t="s">
        <v>7</v>
      </c>
    </row>
    <row r="184" spans="1:9" x14ac:dyDescent="0.2">
      <c r="A184" s="105" t="s">
        <v>81</v>
      </c>
      <c r="B184" s="347">
        <v>480</v>
      </c>
      <c r="C184" s="348">
        <v>408</v>
      </c>
      <c r="D184" s="349">
        <v>563</v>
      </c>
      <c r="E184" s="347">
        <v>501</v>
      </c>
      <c r="F184" s="348">
        <v>468</v>
      </c>
      <c r="G184" s="349">
        <v>508</v>
      </c>
      <c r="H184" s="347">
        <v>617</v>
      </c>
      <c r="I184" s="209">
        <f>SUM(B184:H184)</f>
        <v>3545</v>
      </c>
    </row>
    <row r="185" spans="1:9" x14ac:dyDescent="0.2">
      <c r="A185" s="103" t="s">
        <v>82</v>
      </c>
      <c r="B185" s="146">
        <v>34</v>
      </c>
      <c r="C185" s="109">
        <v>33</v>
      </c>
      <c r="D185" s="147">
        <v>105</v>
      </c>
      <c r="E185" s="146">
        <v>78</v>
      </c>
      <c r="F185" s="109">
        <v>103</v>
      </c>
      <c r="G185" s="147">
        <v>103</v>
      </c>
      <c r="H185" s="146">
        <v>112</v>
      </c>
      <c r="I185" s="209">
        <f>SUM(B185:H185)</f>
        <v>568</v>
      </c>
    </row>
    <row r="186" spans="1:9" x14ac:dyDescent="0.2">
      <c r="A186" s="103" t="s">
        <v>83</v>
      </c>
      <c r="B186" s="146">
        <v>4</v>
      </c>
      <c r="C186" s="109">
        <v>5</v>
      </c>
      <c r="D186" s="147">
        <v>16</v>
      </c>
      <c r="E186" s="146">
        <v>15</v>
      </c>
      <c r="F186" s="109">
        <v>9</v>
      </c>
      <c r="G186" s="147">
        <v>20</v>
      </c>
      <c r="H186" s="146">
        <v>24</v>
      </c>
      <c r="I186" s="209">
        <f>SUM(B186:H186)</f>
        <v>93</v>
      </c>
    </row>
    <row r="187" spans="1:9" x14ac:dyDescent="0.2">
      <c r="A187" s="103" t="s">
        <v>84</v>
      </c>
      <c r="B187" s="146">
        <v>4</v>
      </c>
      <c r="C187" s="109">
        <v>3</v>
      </c>
      <c r="D187" s="147">
        <v>7</v>
      </c>
      <c r="E187" s="146">
        <v>8</v>
      </c>
      <c r="F187" s="109">
        <v>13</v>
      </c>
      <c r="G187" s="147">
        <v>6</v>
      </c>
      <c r="H187" s="146">
        <v>9</v>
      </c>
      <c r="I187" s="209">
        <f>SUM(B187:H187)</f>
        <v>50</v>
      </c>
    </row>
    <row r="188" spans="1:9" x14ac:dyDescent="0.2">
      <c r="A188" s="103" t="s">
        <v>85</v>
      </c>
      <c r="B188" s="146">
        <v>18</v>
      </c>
      <c r="C188" s="109">
        <v>15</v>
      </c>
      <c r="D188" s="147">
        <v>27</v>
      </c>
      <c r="E188" s="146">
        <v>30</v>
      </c>
      <c r="F188" s="109">
        <v>31</v>
      </c>
      <c r="G188" s="147">
        <v>27</v>
      </c>
      <c r="H188" s="146">
        <v>28</v>
      </c>
      <c r="I188" s="209">
        <f>SUM(B188:H188)</f>
        <v>176</v>
      </c>
    </row>
    <row r="189" spans="1:9" x14ac:dyDescent="0.2">
      <c r="A189" s="103" t="s">
        <v>86</v>
      </c>
      <c r="B189" s="146">
        <v>10</v>
      </c>
      <c r="C189" s="109">
        <v>16</v>
      </c>
      <c r="D189" s="147">
        <v>30</v>
      </c>
      <c r="E189" s="146">
        <v>37</v>
      </c>
      <c r="F189" s="109">
        <v>41</v>
      </c>
      <c r="G189" s="147">
        <v>34</v>
      </c>
      <c r="H189" s="146">
        <v>43</v>
      </c>
      <c r="I189" s="209">
        <f>SUM(B189:H189)</f>
        <v>211</v>
      </c>
    </row>
    <row r="190" spans="1:9" x14ac:dyDescent="0.2">
      <c r="A190" s="103" t="s">
        <v>87</v>
      </c>
      <c r="B190" s="146">
        <v>13</v>
      </c>
      <c r="C190" s="109">
        <v>8</v>
      </c>
      <c r="D190" s="147">
        <v>21</v>
      </c>
      <c r="E190" s="146">
        <v>22</v>
      </c>
      <c r="F190" s="109">
        <v>23</v>
      </c>
      <c r="G190" s="147">
        <v>27</v>
      </c>
      <c r="H190" s="146">
        <v>21</v>
      </c>
      <c r="I190" s="209">
        <f>SUM(B190:H190)</f>
        <v>135</v>
      </c>
    </row>
    <row r="191" spans="1:9" x14ac:dyDescent="0.2">
      <c r="A191" s="103" t="s">
        <v>88</v>
      </c>
      <c r="B191" s="146">
        <v>5</v>
      </c>
      <c r="C191" s="109">
        <v>9</v>
      </c>
      <c r="D191" s="147">
        <v>2</v>
      </c>
      <c r="E191" s="146">
        <v>10</v>
      </c>
      <c r="F191" s="109">
        <v>6</v>
      </c>
      <c r="G191" s="147">
        <v>5</v>
      </c>
      <c r="H191" s="146">
        <v>6</v>
      </c>
      <c r="I191" s="209">
        <f>SUM(B191:H191)</f>
        <v>43</v>
      </c>
    </row>
    <row r="192" spans="1:9" x14ac:dyDescent="0.2">
      <c r="A192" s="103" t="s">
        <v>78</v>
      </c>
      <c r="B192" s="146">
        <v>1</v>
      </c>
      <c r="C192" s="109"/>
      <c r="D192" s="147"/>
      <c r="E192" s="146"/>
      <c r="F192" s="109"/>
      <c r="G192" s="147"/>
      <c r="H192" s="146"/>
      <c r="I192" s="209">
        <f>SUM(B192:H192)</f>
        <v>1</v>
      </c>
    </row>
    <row r="193" spans="1:9" x14ac:dyDescent="0.2">
      <c r="A193" s="106" t="s">
        <v>89</v>
      </c>
      <c r="B193" s="155">
        <v>13</v>
      </c>
      <c r="C193" s="156">
        <v>12</v>
      </c>
      <c r="D193" s="157">
        <v>44</v>
      </c>
      <c r="E193" s="155">
        <v>20</v>
      </c>
      <c r="F193" s="156">
        <v>36</v>
      </c>
      <c r="G193" s="157">
        <v>23</v>
      </c>
      <c r="H193" s="155">
        <v>14</v>
      </c>
      <c r="I193" s="209">
        <f>SUM(B193:H193)</f>
        <v>162</v>
      </c>
    </row>
    <row r="194" spans="1:9" x14ac:dyDescent="0.2">
      <c r="A194" s="99" t="s">
        <v>24</v>
      </c>
      <c r="B194" s="377">
        <f t="shared" ref="B194:H194" si="40">SUM(B184:B193)</f>
        <v>582</v>
      </c>
      <c r="C194" s="378">
        <f t="shared" si="40"/>
        <v>509</v>
      </c>
      <c r="D194" s="379">
        <f t="shared" si="40"/>
        <v>815</v>
      </c>
      <c r="E194" s="377">
        <f t="shared" si="40"/>
        <v>721</v>
      </c>
      <c r="F194" s="378">
        <f t="shared" si="40"/>
        <v>730</v>
      </c>
      <c r="G194" s="379">
        <f t="shared" si="40"/>
        <v>753</v>
      </c>
      <c r="H194" s="377">
        <f t="shared" si="40"/>
        <v>874</v>
      </c>
      <c r="I194" s="199">
        <f>SUM(B194:H194)</f>
        <v>4984</v>
      </c>
    </row>
    <row r="195" spans="1:9" x14ac:dyDescent="0.2">
      <c r="A195" s="98" t="s">
        <v>17</v>
      </c>
      <c r="B195" s="120">
        <v>46023</v>
      </c>
      <c r="C195" s="120">
        <v>46054</v>
      </c>
      <c r="D195" s="120">
        <v>46082</v>
      </c>
      <c r="E195" s="120">
        <v>46113</v>
      </c>
      <c r="F195" s="120">
        <v>46143</v>
      </c>
      <c r="G195" s="120">
        <v>46174</v>
      </c>
      <c r="H195" s="120">
        <v>46204</v>
      </c>
      <c r="I195" s="380"/>
    </row>
    <row r="196" spans="1:9" x14ac:dyDescent="0.2">
      <c r="A196" s="105" t="s">
        <v>81</v>
      </c>
      <c r="B196" s="360">
        <f t="shared" ref="B196:H205" si="41">B184/B$194</f>
        <v>0.82474226804123707</v>
      </c>
      <c r="C196" s="361">
        <f t="shared" si="41"/>
        <v>0.80157170923379173</v>
      </c>
      <c r="D196" s="362">
        <f t="shared" si="41"/>
        <v>0.69079754601226995</v>
      </c>
      <c r="E196" s="360">
        <f t="shared" si="41"/>
        <v>0.69486823855755897</v>
      </c>
      <c r="F196" s="361">
        <f t="shared" si="41"/>
        <v>0.64109589041095894</v>
      </c>
      <c r="G196" s="362">
        <f t="shared" si="41"/>
        <v>0.67463479415670646</v>
      </c>
      <c r="H196" s="360">
        <f t="shared" si="41"/>
        <v>0.70594965675057209</v>
      </c>
      <c r="I196" s="384">
        <f>I184/$I$194</f>
        <v>0.7112760834670947</v>
      </c>
    </row>
    <row r="197" spans="1:9" x14ac:dyDescent="0.2">
      <c r="A197" s="103" t="s">
        <v>82</v>
      </c>
      <c r="B197" s="172">
        <f t="shared" si="41"/>
        <v>5.8419243986254296E-2</v>
      </c>
      <c r="C197" s="170">
        <f t="shared" si="41"/>
        <v>6.4833005893909626E-2</v>
      </c>
      <c r="D197" s="171">
        <f t="shared" si="41"/>
        <v>0.12883435582822086</v>
      </c>
      <c r="E197" s="172">
        <f t="shared" si="41"/>
        <v>0.10818307905686546</v>
      </c>
      <c r="F197" s="170">
        <f t="shared" si="41"/>
        <v>0.14109589041095891</v>
      </c>
      <c r="G197" s="171">
        <f t="shared" si="41"/>
        <v>0.13678618857901725</v>
      </c>
      <c r="H197" s="172">
        <f t="shared" si="41"/>
        <v>0.12814645308924486</v>
      </c>
      <c r="I197" s="384">
        <f t="shared" ref="I197:I205" si="42">I185/$I$194</f>
        <v>0.11396468699839486</v>
      </c>
    </row>
    <row r="198" spans="1:9" x14ac:dyDescent="0.2">
      <c r="A198" s="103" t="s">
        <v>83</v>
      </c>
      <c r="B198" s="172">
        <f t="shared" si="41"/>
        <v>6.8728522336769758E-3</v>
      </c>
      <c r="C198" s="170">
        <f t="shared" si="41"/>
        <v>9.823182711198428E-3</v>
      </c>
      <c r="D198" s="171">
        <f t="shared" si="41"/>
        <v>1.9631901840490799E-2</v>
      </c>
      <c r="E198" s="172">
        <f t="shared" si="41"/>
        <v>2.0804438280166437E-2</v>
      </c>
      <c r="F198" s="170">
        <f t="shared" si="41"/>
        <v>1.2328767123287671E-2</v>
      </c>
      <c r="G198" s="171">
        <f t="shared" si="41"/>
        <v>2.6560424966799469E-2</v>
      </c>
      <c r="H198" s="172">
        <f t="shared" si="41"/>
        <v>2.7459954233409609E-2</v>
      </c>
      <c r="I198" s="384">
        <f t="shared" si="42"/>
        <v>1.8659711075441412E-2</v>
      </c>
    </row>
    <row r="199" spans="1:9" x14ac:dyDescent="0.2">
      <c r="A199" s="103" t="s">
        <v>84</v>
      </c>
      <c r="B199" s="172">
        <f t="shared" si="41"/>
        <v>6.8728522336769758E-3</v>
      </c>
      <c r="C199" s="170">
        <f t="shared" si="41"/>
        <v>5.893909626719057E-3</v>
      </c>
      <c r="D199" s="171">
        <f t="shared" si="41"/>
        <v>8.5889570552147246E-3</v>
      </c>
      <c r="E199" s="172">
        <f t="shared" si="41"/>
        <v>1.1095700416088766E-2</v>
      </c>
      <c r="F199" s="170">
        <f t="shared" si="41"/>
        <v>1.7808219178082191E-2</v>
      </c>
      <c r="G199" s="171">
        <f t="shared" si="41"/>
        <v>7.9681274900398405E-3</v>
      </c>
      <c r="H199" s="172">
        <f t="shared" si="41"/>
        <v>1.0297482837528604E-2</v>
      </c>
      <c r="I199" s="384">
        <f t="shared" si="42"/>
        <v>1.0032102728731942E-2</v>
      </c>
    </row>
    <row r="200" spans="1:9" x14ac:dyDescent="0.2">
      <c r="A200" s="103" t="s">
        <v>85</v>
      </c>
      <c r="B200" s="172">
        <f t="shared" si="41"/>
        <v>3.0927835051546393E-2</v>
      </c>
      <c r="C200" s="170">
        <f t="shared" si="41"/>
        <v>2.9469548133595286E-2</v>
      </c>
      <c r="D200" s="171">
        <f t="shared" si="41"/>
        <v>3.3128834355828224E-2</v>
      </c>
      <c r="E200" s="172">
        <f t="shared" si="41"/>
        <v>4.1608876560332873E-2</v>
      </c>
      <c r="F200" s="170">
        <f t="shared" si="41"/>
        <v>4.2465753424657533E-2</v>
      </c>
      <c r="G200" s="171">
        <f t="shared" si="41"/>
        <v>3.5856573705179286E-2</v>
      </c>
      <c r="H200" s="172">
        <f t="shared" si="41"/>
        <v>3.2036613272311214E-2</v>
      </c>
      <c r="I200" s="384">
        <f t="shared" si="42"/>
        <v>3.5313001605136438E-2</v>
      </c>
    </row>
    <row r="201" spans="1:9" x14ac:dyDescent="0.2">
      <c r="A201" s="103" t="s">
        <v>86</v>
      </c>
      <c r="B201" s="172">
        <f t="shared" si="41"/>
        <v>1.7182130584192441E-2</v>
      </c>
      <c r="C201" s="170">
        <f t="shared" si="41"/>
        <v>3.1434184675834968E-2</v>
      </c>
      <c r="D201" s="171">
        <f t="shared" si="41"/>
        <v>3.6809815950920248E-2</v>
      </c>
      <c r="E201" s="172">
        <f t="shared" si="41"/>
        <v>5.1317614424410539E-2</v>
      </c>
      <c r="F201" s="170">
        <f t="shared" si="41"/>
        <v>5.6164383561643834E-2</v>
      </c>
      <c r="G201" s="171">
        <f t="shared" si="41"/>
        <v>4.5152722443559098E-2</v>
      </c>
      <c r="H201" s="172">
        <f t="shared" si="41"/>
        <v>4.9199084668192221E-2</v>
      </c>
      <c r="I201" s="384">
        <f t="shared" si="42"/>
        <v>4.2335473515248793E-2</v>
      </c>
    </row>
    <row r="202" spans="1:9" x14ac:dyDescent="0.2">
      <c r="A202" s="103" t="s">
        <v>87</v>
      </c>
      <c r="B202" s="172">
        <f t="shared" si="41"/>
        <v>2.2336769759450172E-2</v>
      </c>
      <c r="C202" s="170">
        <f t="shared" si="41"/>
        <v>1.5717092337917484E-2</v>
      </c>
      <c r="D202" s="171">
        <f t="shared" si="41"/>
        <v>2.5766871165644172E-2</v>
      </c>
      <c r="E202" s="172">
        <f t="shared" si="41"/>
        <v>3.0513176144244106E-2</v>
      </c>
      <c r="F202" s="170">
        <f t="shared" si="41"/>
        <v>3.1506849315068496E-2</v>
      </c>
      <c r="G202" s="171">
        <f t="shared" si="41"/>
        <v>3.5856573705179286E-2</v>
      </c>
      <c r="H202" s="172">
        <f t="shared" si="41"/>
        <v>2.4027459954233409E-2</v>
      </c>
      <c r="I202" s="384">
        <f t="shared" si="42"/>
        <v>2.7086677367576244E-2</v>
      </c>
    </row>
    <row r="203" spans="1:9" x14ac:dyDescent="0.2">
      <c r="A203" s="103" t="s">
        <v>88</v>
      </c>
      <c r="B203" s="172">
        <f t="shared" si="41"/>
        <v>8.5910652920962206E-3</v>
      </c>
      <c r="C203" s="170">
        <f t="shared" si="41"/>
        <v>1.768172888015717E-2</v>
      </c>
      <c r="D203" s="171">
        <f t="shared" si="41"/>
        <v>2.4539877300613498E-3</v>
      </c>
      <c r="E203" s="172">
        <f t="shared" si="41"/>
        <v>1.3869625520110958E-2</v>
      </c>
      <c r="F203" s="170">
        <f t="shared" si="41"/>
        <v>8.21917808219178E-3</v>
      </c>
      <c r="G203" s="171">
        <f t="shared" si="41"/>
        <v>6.6401062416998674E-3</v>
      </c>
      <c r="H203" s="172">
        <f t="shared" si="41"/>
        <v>6.8649885583524023E-3</v>
      </c>
      <c r="I203" s="384">
        <f t="shared" si="42"/>
        <v>8.6276083467094703E-3</v>
      </c>
    </row>
    <row r="204" spans="1:9" x14ac:dyDescent="0.2">
      <c r="A204" s="103" t="s">
        <v>78</v>
      </c>
      <c r="B204" s="172">
        <f t="shared" si="41"/>
        <v>1.718213058419244E-3</v>
      </c>
      <c r="C204" s="170">
        <f t="shared" si="41"/>
        <v>0</v>
      </c>
      <c r="D204" s="171">
        <f t="shared" si="41"/>
        <v>0</v>
      </c>
      <c r="E204" s="172">
        <f t="shared" si="41"/>
        <v>0</v>
      </c>
      <c r="F204" s="170">
        <f t="shared" si="41"/>
        <v>0</v>
      </c>
      <c r="G204" s="171">
        <f t="shared" si="41"/>
        <v>0</v>
      </c>
      <c r="H204" s="172">
        <f t="shared" si="41"/>
        <v>0</v>
      </c>
      <c r="I204" s="384">
        <f t="shared" si="42"/>
        <v>2.0064205457463884E-4</v>
      </c>
    </row>
    <row r="205" spans="1:9" x14ac:dyDescent="0.2">
      <c r="A205" s="107" t="s">
        <v>89</v>
      </c>
      <c r="B205" s="160">
        <f t="shared" si="41"/>
        <v>2.2336769759450172E-2</v>
      </c>
      <c r="C205" s="158">
        <f t="shared" si="41"/>
        <v>2.3575638506876228E-2</v>
      </c>
      <c r="D205" s="159">
        <f t="shared" si="41"/>
        <v>5.3987730061349694E-2</v>
      </c>
      <c r="E205" s="160">
        <f t="shared" si="41"/>
        <v>2.7739251040221916E-2</v>
      </c>
      <c r="F205" s="158">
        <f t="shared" si="41"/>
        <v>4.9315068493150684E-2</v>
      </c>
      <c r="G205" s="159">
        <f t="shared" si="41"/>
        <v>3.054448871181939E-2</v>
      </c>
      <c r="H205" s="160">
        <f t="shared" si="41"/>
        <v>1.6018306636155607E-2</v>
      </c>
      <c r="I205" s="384">
        <f t="shared" si="42"/>
        <v>3.2504012841091494E-2</v>
      </c>
    </row>
    <row r="206" spans="1:9" x14ac:dyDescent="0.2">
      <c r="A206" s="44"/>
      <c r="B206" s="163"/>
      <c r="C206" s="164"/>
      <c r="D206" s="165"/>
      <c r="E206" s="163"/>
      <c r="F206" s="164"/>
      <c r="G206" s="165"/>
      <c r="H206" s="401"/>
      <c r="I206" s="337"/>
    </row>
    <row r="207" spans="1:9" x14ac:dyDescent="0.2">
      <c r="A207" s="99" t="s">
        <v>90</v>
      </c>
      <c r="B207" s="120">
        <v>46023</v>
      </c>
      <c r="C207" s="120">
        <v>46054</v>
      </c>
      <c r="D207" s="120">
        <v>46082</v>
      </c>
      <c r="E207" s="120">
        <v>46113</v>
      </c>
      <c r="F207" s="120">
        <v>46143</v>
      </c>
      <c r="G207" s="120">
        <v>46174</v>
      </c>
      <c r="H207" s="120">
        <v>46204</v>
      </c>
      <c r="I207" s="199" t="s">
        <v>7</v>
      </c>
    </row>
    <row r="208" spans="1:9" x14ac:dyDescent="0.2">
      <c r="A208" s="105" t="s">
        <v>72</v>
      </c>
      <c r="B208" s="141">
        <v>12</v>
      </c>
      <c r="C208" s="142">
        <v>8</v>
      </c>
      <c r="D208" s="143">
        <v>26</v>
      </c>
      <c r="E208" s="141">
        <v>18</v>
      </c>
      <c r="F208" s="142">
        <v>10</v>
      </c>
      <c r="G208" s="143">
        <v>17</v>
      </c>
      <c r="H208" s="141">
        <v>26</v>
      </c>
      <c r="I208" s="209">
        <f>SUM(B208:H208)</f>
        <v>117</v>
      </c>
    </row>
    <row r="209" spans="1:9" x14ac:dyDescent="0.2">
      <c r="A209" s="106" t="s">
        <v>71</v>
      </c>
      <c r="B209" s="129">
        <v>570</v>
      </c>
      <c r="C209" s="130">
        <v>501</v>
      </c>
      <c r="D209" s="131">
        <v>789</v>
      </c>
      <c r="E209" s="129">
        <v>703</v>
      </c>
      <c r="F209" s="130">
        <v>720</v>
      </c>
      <c r="G209" s="131">
        <v>736</v>
      </c>
      <c r="H209" s="129">
        <v>848</v>
      </c>
      <c r="I209" s="337">
        <f>SUM(B209:H209)</f>
        <v>4867</v>
      </c>
    </row>
    <row r="210" spans="1:9" x14ac:dyDescent="0.2">
      <c r="A210" s="95" t="s">
        <v>24</v>
      </c>
      <c r="B210" s="398">
        <f t="shared" ref="B210:H210" si="43">SUM(B208:B209)</f>
        <v>582</v>
      </c>
      <c r="C210" s="399">
        <f t="shared" si="43"/>
        <v>509</v>
      </c>
      <c r="D210" s="400">
        <f t="shared" si="43"/>
        <v>815</v>
      </c>
      <c r="E210" s="398">
        <f t="shared" si="43"/>
        <v>721</v>
      </c>
      <c r="F210" s="399">
        <f t="shared" si="43"/>
        <v>730</v>
      </c>
      <c r="G210" s="400">
        <f t="shared" si="43"/>
        <v>753</v>
      </c>
      <c r="H210" s="398">
        <f t="shared" si="43"/>
        <v>874</v>
      </c>
      <c r="I210" s="199">
        <f>SUM(B210:H210)</f>
        <v>4984</v>
      </c>
    </row>
    <row r="211" spans="1:9" x14ac:dyDescent="0.2">
      <c r="A211" s="99" t="s">
        <v>17</v>
      </c>
      <c r="B211" s="120">
        <v>46023</v>
      </c>
      <c r="C211" s="120">
        <v>46054</v>
      </c>
      <c r="D211" s="120">
        <v>46082</v>
      </c>
      <c r="E211" s="120">
        <v>46113</v>
      </c>
      <c r="F211" s="120">
        <v>46143</v>
      </c>
      <c r="G211" s="120">
        <v>46174</v>
      </c>
      <c r="H211" s="120">
        <v>46204</v>
      </c>
      <c r="I211" s="380"/>
    </row>
    <row r="212" spans="1:9" x14ac:dyDescent="0.2">
      <c r="A212" s="105" t="s">
        <v>72</v>
      </c>
      <c r="B212" s="229">
        <f t="shared" ref="B212:H212" si="44">B208/B210</f>
        <v>2.0618556701030927E-2</v>
      </c>
      <c r="C212" s="144">
        <f t="shared" si="44"/>
        <v>1.5717092337917484E-2</v>
      </c>
      <c r="D212" s="230">
        <f t="shared" si="44"/>
        <v>3.1901840490797549E-2</v>
      </c>
      <c r="E212" s="229">
        <f t="shared" si="44"/>
        <v>2.4965325936199722E-2</v>
      </c>
      <c r="F212" s="144">
        <f t="shared" si="44"/>
        <v>1.3698630136986301E-2</v>
      </c>
      <c r="G212" s="230">
        <f t="shared" si="44"/>
        <v>2.2576361221779549E-2</v>
      </c>
      <c r="H212" s="229">
        <f t="shared" si="44"/>
        <v>2.9748283752860413E-2</v>
      </c>
      <c r="I212" s="384">
        <f t="shared" ref="I212" si="45">I208/I210</f>
        <v>2.3475120385232744E-2</v>
      </c>
    </row>
    <row r="213" spans="1:9" x14ac:dyDescent="0.2">
      <c r="A213" s="107" t="s">
        <v>71</v>
      </c>
      <c r="B213" s="160">
        <f t="shared" ref="B213:H213" si="46">B209/B210</f>
        <v>0.97938144329896903</v>
      </c>
      <c r="C213" s="158">
        <f t="shared" si="46"/>
        <v>0.98428290766208248</v>
      </c>
      <c r="D213" s="159">
        <f t="shared" si="46"/>
        <v>0.96809815950920242</v>
      </c>
      <c r="E213" s="160">
        <f t="shared" si="46"/>
        <v>0.97503467406380029</v>
      </c>
      <c r="F213" s="158">
        <f t="shared" si="46"/>
        <v>0.98630136986301364</v>
      </c>
      <c r="G213" s="159">
        <f t="shared" si="46"/>
        <v>0.97742363877822047</v>
      </c>
      <c r="H213" s="160">
        <f t="shared" si="46"/>
        <v>0.97025171624713957</v>
      </c>
      <c r="I213" s="383">
        <f t="shared" ref="I213" si="47">I209/I210</f>
        <v>0.9765248796147673</v>
      </c>
    </row>
  </sheetData>
  <mergeCells count="3">
    <mergeCell ref="B1:H1"/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8A410-5CE8-40EB-B741-B625B380E22F}">
  <sheetPr>
    <pageSetUpPr fitToPage="1"/>
  </sheetPr>
  <dimension ref="A1:N213"/>
  <sheetViews>
    <sheetView zoomScaleNormal="100" workbookViewId="0">
      <selection activeCell="W5" sqref="W5"/>
    </sheetView>
  </sheetViews>
  <sheetFormatPr baseColWidth="10" defaultColWidth="8.83203125" defaultRowHeight="15" x14ac:dyDescent="0.2"/>
  <cols>
    <col min="1" max="1" width="46.1640625" bestFit="1" customWidth="1"/>
    <col min="2" max="2" width="6.83203125" bestFit="1" customWidth="1"/>
    <col min="3" max="3" width="7.1640625" bestFit="1" customWidth="1"/>
    <col min="4" max="4" width="7.6640625" bestFit="1" customWidth="1"/>
    <col min="5" max="5" width="7.1640625" style="1" bestFit="1" customWidth="1"/>
    <col min="6" max="6" width="7.83203125" bestFit="1" customWidth="1"/>
    <col min="7" max="7" width="7" bestFit="1" customWidth="1"/>
    <col min="8" max="8" width="6.33203125" style="1" bestFit="1" customWidth="1"/>
    <col min="9" max="9" width="7.5" bestFit="1" customWidth="1"/>
    <col min="10" max="10" width="7.1640625" bestFit="1" customWidth="1"/>
    <col min="11" max="11" width="7" bestFit="1" customWidth="1"/>
    <col min="12" max="12" width="7.5" bestFit="1" customWidth="1"/>
    <col min="13" max="13" width="7.33203125" bestFit="1" customWidth="1"/>
    <col min="14" max="14" width="8" bestFit="1" customWidth="1"/>
    <col min="17" max="17" width="9.5" bestFit="1" customWidth="1"/>
  </cols>
  <sheetData>
    <row r="1" spans="1:14" x14ac:dyDescent="0.2">
      <c r="A1" s="99" t="s">
        <v>0</v>
      </c>
      <c r="B1" s="413">
        <v>2025</v>
      </c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5"/>
    </row>
    <row r="2" spans="1:14" x14ac:dyDescent="0.2">
      <c r="A2" s="96" t="s">
        <v>1</v>
      </c>
      <c r="B2" s="410" t="s">
        <v>2</v>
      </c>
      <c r="C2" s="411"/>
      <c r="D2" s="412"/>
      <c r="E2" s="410" t="s">
        <v>3</v>
      </c>
      <c r="F2" s="411"/>
      <c r="G2" s="412"/>
      <c r="H2" s="410" t="s">
        <v>4</v>
      </c>
      <c r="I2" s="411"/>
      <c r="J2" s="412"/>
      <c r="K2" s="410" t="s">
        <v>5</v>
      </c>
      <c r="L2" s="411"/>
      <c r="M2" s="412"/>
      <c r="N2" s="337"/>
    </row>
    <row r="3" spans="1:14" x14ac:dyDescent="0.2">
      <c r="A3" s="99" t="s">
        <v>6</v>
      </c>
      <c r="B3" s="120">
        <v>45658</v>
      </c>
      <c r="C3" s="121">
        <v>45689</v>
      </c>
      <c r="D3" s="122">
        <v>45717</v>
      </c>
      <c r="E3" s="120">
        <v>45748</v>
      </c>
      <c r="F3" s="121">
        <v>45778</v>
      </c>
      <c r="G3" s="122">
        <v>45809</v>
      </c>
      <c r="H3" s="120">
        <v>45839</v>
      </c>
      <c r="I3" s="121">
        <v>45870</v>
      </c>
      <c r="J3" s="122">
        <v>45901</v>
      </c>
      <c r="K3" s="120">
        <v>45931</v>
      </c>
      <c r="L3" s="121">
        <v>45962</v>
      </c>
      <c r="M3" s="122">
        <v>45992</v>
      </c>
      <c r="N3" s="199" t="s">
        <v>7</v>
      </c>
    </row>
    <row r="4" spans="1:14" x14ac:dyDescent="0.2">
      <c r="A4" s="96" t="s">
        <v>8</v>
      </c>
      <c r="B4" s="338">
        <v>125</v>
      </c>
      <c r="C4" s="339">
        <v>117</v>
      </c>
      <c r="D4" s="340">
        <v>126</v>
      </c>
      <c r="E4" s="338">
        <v>141</v>
      </c>
      <c r="F4" s="339">
        <v>131</v>
      </c>
      <c r="G4" s="340">
        <v>126</v>
      </c>
      <c r="H4" s="338">
        <v>145</v>
      </c>
      <c r="I4" s="339">
        <v>154</v>
      </c>
      <c r="J4" s="340">
        <v>148</v>
      </c>
      <c r="K4" s="338">
        <v>181</v>
      </c>
      <c r="L4" s="339">
        <v>150</v>
      </c>
      <c r="M4" s="340">
        <v>151</v>
      </c>
      <c r="N4" s="388">
        <f>SUM(B4:M4)</f>
        <v>1695</v>
      </c>
    </row>
    <row r="5" spans="1:14" x14ac:dyDescent="0.2">
      <c r="A5" s="101" t="s">
        <v>9</v>
      </c>
      <c r="B5" s="341">
        <v>45658</v>
      </c>
      <c r="C5" s="342">
        <v>45689</v>
      </c>
      <c r="D5" s="343">
        <v>45717</v>
      </c>
      <c r="E5" s="341">
        <v>45748</v>
      </c>
      <c r="F5" s="342">
        <v>45778</v>
      </c>
      <c r="G5" s="343">
        <v>45809</v>
      </c>
      <c r="H5" s="341">
        <v>45839</v>
      </c>
      <c r="I5" s="342">
        <v>45870</v>
      </c>
      <c r="J5" s="343">
        <v>45901</v>
      </c>
      <c r="K5" s="341">
        <v>45931</v>
      </c>
      <c r="L5" s="342">
        <v>45962</v>
      </c>
      <c r="M5" s="343">
        <v>45992</v>
      </c>
      <c r="N5" s="199" t="s">
        <v>7</v>
      </c>
    </row>
    <row r="6" spans="1:14" x14ac:dyDescent="0.2">
      <c r="A6" s="102" t="s">
        <v>10</v>
      </c>
      <c r="B6" s="344">
        <v>31</v>
      </c>
      <c r="C6" s="345">
        <v>28</v>
      </c>
      <c r="D6" s="346">
        <v>31</v>
      </c>
      <c r="E6" s="347">
        <v>30</v>
      </c>
      <c r="F6" s="348">
        <v>30</v>
      </c>
      <c r="G6" s="349">
        <v>29</v>
      </c>
      <c r="H6" s="347">
        <v>31</v>
      </c>
      <c r="I6" s="348">
        <v>31</v>
      </c>
      <c r="J6" s="349">
        <v>30</v>
      </c>
      <c r="K6" s="347">
        <v>31</v>
      </c>
      <c r="L6" s="348">
        <v>30</v>
      </c>
      <c r="M6" s="349">
        <v>31</v>
      </c>
      <c r="N6" s="208">
        <f>SUM(B6:M6)</f>
        <v>363</v>
      </c>
    </row>
    <row r="7" spans="1:14" x14ac:dyDescent="0.2">
      <c r="A7" s="103" t="s">
        <v>11</v>
      </c>
      <c r="B7" s="146">
        <v>358</v>
      </c>
      <c r="C7" s="109">
        <v>394</v>
      </c>
      <c r="D7" s="147">
        <v>418</v>
      </c>
      <c r="E7" s="146">
        <v>456</v>
      </c>
      <c r="F7" s="109">
        <v>462</v>
      </c>
      <c r="G7" s="147">
        <v>456</v>
      </c>
      <c r="H7" s="146">
        <v>513</v>
      </c>
      <c r="I7" s="109">
        <v>567</v>
      </c>
      <c r="J7" s="147">
        <v>569</v>
      </c>
      <c r="K7" s="146">
        <v>618</v>
      </c>
      <c r="L7" s="109">
        <v>517</v>
      </c>
      <c r="M7" s="147">
        <v>480</v>
      </c>
      <c r="N7" s="197">
        <f>SUM(B7:M7)</f>
        <v>5808</v>
      </c>
    </row>
    <row r="8" spans="1:14" x14ac:dyDescent="0.2">
      <c r="A8" s="103" t="s">
        <v>12</v>
      </c>
      <c r="B8" s="146">
        <v>629</v>
      </c>
      <c r="C8" s="109">
        <v>598</v>
      </c>
      <c r="D8" s="147">
        <v>604</v>
      </c>
      <c r="E8" s="280">
        <v>656</v>
      </c>
      <c r="F8" s="109">
        <v>682</v>
      </c>
      <c r="G8" s="147">
        <v>677</v>
      </c>
      <c r="H8" s="146">
        <v>762</v>
      </c>
      <c r="I8" s="109">
        <v>885</v>
      </c>
      <c r="J8" s="147">
        <v>757</v>
      </c>
      <c r="K8" s="146">
        <v>918</v>
      </c>
      <c r="L8" s="109">
        <v>758</v>
      </c>
      <c r="M8" s="147">
        <v>724</v>
      </c>
      <c r="N8" s="197">
        <f>SUM(B8:M8)</f>
        <v>8650</v>
      </c>
    </row>
    <row r="9" spans="1:14" x14ac:dyDescent="0.2">
      <c r="A9" s="106" t="s">
        <v>13</v>
      </c>
      <c r="B9" s="281">
        <f t="shared" ref="B9:M9" si="0">B$8-B$22</f>
        <v>73</v>
      </c>
      <c r="C9" s="282">
        <f t="shared" si="0"/>
        <v>56</v>
      </c>
      <c r="D9" s="283">
        <f t="shared" si="0"/>
        <v>80</v>
      </c>
      <c r="E9" s="281">
        <f t="shared" si="0"/>
        <v>123</v>
      </c>
      <c r="F9" s="282">
        <f t="shared" si="0"/>
        <v>111</v>
      </c>
      <c r="G9" s="283">
        <f t="shared" si="0"/>
        <v>109</v>
      </c>
      <c r="H9" s="281">
        <f t="shared" si="0"/>
        <v>119</v>
      </c>
      <c r="I9" s="282">
        <f t="shared" si="0"/>
        <v>173</v>
      </c>
      <c r="J9" s="283">
        <f t="shared" si="0"/>
        <v>129</v>
      </c>
      <c r="K9" s="283">
        <f t="shared" si="0"/>
        <v>127</v>
      </c>
      <c r="L9" s="283">
        <f t="shared" si="0"/>
        <v>70</v>
      </c>
      <c r="M9" s="283">
        <f t="shared" si="0"/>
        <v>114</v>
      </c>
      <c r="N9" s="387">
        <f>SUM(B9:M9)</f>
        <v>1284</v>
      </c>
    </row>
    <row r="10" spans="1:14" x14ac:dyDescent="0.2">
      <c r="A10" s="99" t="s">
        <v>91</v>
      </c>
      <c r="B10" s="120">
        <v>45658</v>
      </c>
      <c r="C10" s="121">
        <v>45689</v>
      </c>
      <c r="D10" s="122">
        <v>45717</v>
      </c>
      <c r="E10" s="120">
        <v>45748</v>
      </c>
      <c r="F10" s="121">
        <v>45778</v>
      </c>
      <c r="G10" s="122">
        <v>45809</v>
      </c>
      <c r="H10" s="120">
        <v>45839</v>
      </c>
      <c r="I10" s="121">
        <v>45870</v>
      </c>
      <c r="J10" s="122">
        <v>45901</v>
      </c>
      <c r="K10" s="120">
        <v>45931</v>
      </c>
      <c r="L10" s="121">
        <v>45962</v>
      </c>
      <c r="M10" s="122">
        <v>45992</v>
      </c>
      <c r="N10" s="199"/>
    </row>
    <row r="11" spans="1:14" x14ac:dyDescent="0.2">
      <c r="A11" s="105" t="s">
        <v>15</v>
      </c>
      <c r="B11" s="284">
        <f t="shared" ref="B11:H11" si="1">B7/B6</f>
        <v>11.548387096774194</v>
      </c>
      <c r="C11" s="285">
        <f t="shared" si="1"/>
        <v>14.071428571428571</v>
      </c>
      <c r="D11" s="286">
        <f t="shared" si="1"/>
        <v>13.483870967741936</v>
      </c>
      <c r="E11" s="284">
        <f t="shared" si="1"/>
        <v>15.2</v>
      </c>
      <c r="F11" s="285">
        <f t="shared" si="1"/>
        <v>15.4</v>
      </c>
      <c r="G11" s="286">
        <f t="shared" si="1"/>
        <v>15.724137931034482</v>
      </c>
      <c r="H11" s="284">
        <f t="shared" si="1"/>
        <v>16.548387096774192</v>
      </c>
      <c r="I11" s="285">
        <f>I7/I6</f>
        <v>18.29032258064516</v>
      </c>
      <c r="J11" s="286">
        <f>J7/J6</f>
        <v>18.966666666666665</v>
      </c>
      <c r="K11" s="350">
        <f>K7/K6</f>
        <v>19.93548387096774</v>
      </c>
      <c r="L11" s="350">
        <f>L7/L6</f>
        <v>17.233333333333334</v>
      </c>
      <c r="M11" s="350">
        <f>M7/M6</f>
        <v>15.483870967741936</v>
      </c>
      <c r="N11" s="385">
        <f>SUM(B11:M11)/12</f>
        <v>15.990490756925686</v>
      </c>
    </row>
    <row r="12" spans="1:14" x14ac:dyDescent="0.2">
      <c r="A12" s="106" t="s">
        <v>16</v>
      </c>
      <c r="B12" s="288">
        <f t="shared" ref="B12:H12" si="2">B4/B6</f>
        <v>4.032258064516129</v>
      </c>
      <c r="C12" s="289">
        <f t="shared" si="2"/>
        <v>4.1785714285714288</v>
      </c>
      <c r="D12" s="290">
        <f t="shared" si="2"/>
        <v>4.064516129032258</v>
      </c>
      <c r="E12" s="288">
        <f t="shared" si="2"/>
        <v>4.7</v>
      </c>
      <c r="F12" s="289">
        <f t="shared" si="2"/>
        <v>4.3666666666666663</v>
      </c>
      <c r="G12" s="290">
        <f t="shared" si="2"/>
        <v>4.3448275862068968</v>
      </c>
      <c r="H12" s="288">
        <f t="shared" si="2"/>
        <v>4.67741935483871</v>
      </c>
      <c r="I12" s="289">
        <f t="shared" ref="I12" si="3">I4/I6</f>
        <v>4.967741935483871</v>
      </c>
      <c r="J12" s="290">
        <f>J4/J6</f>
        <v>4.9333333333333336</v>
      </c>
      <c r="K12" s="351">
        <f>K4/K6</f>
        <v>5.838709677419355</v>
      </c>
      <c r="L12" s="351">
        <f>L4/L6</f>
        <v>5</v>
      </c>
      <c r="M12" s="351">
        <f>M4/M6</f>
        <v>4.870967741935484</v>
      </c>
      <c r="N12" s="386">
        <f>SUM(B12:M12)/12</f>
        <v>4.6645843265003437</v>
      </c>
    </row>
    <row r="13" spans="1:14" x14ac:dyDescent="0.2">
      <c r="A13" s="99" t="s">
        <v>17</v>
      </c>
      <c r="B13" s="120">
        <v>45658</v>
      </c>
      <c r="C13" s="120">
        <v>45689</v>
      </c>
      <c r="D13" s="120">
        <v>45717</v>
      </c>
      <c r="E13" s="120">
        <v>45748</v>
      </c>
      <c r="F13" s="120">
        <v>45778</v>
      </c>
      <c r="G13" s="120">
        <v>45809</v>
      </c>
      <c r="H13" s="120">
        <v>45839</v>
      </c>
      <c r="I13" s="120">
        <v>45870</v>
      </c>
      <c r="J13" s="120">
        <v>45901</v>
      </c>
      <c r="K13" s="120">
        <v>45931</v>
      </c>
      <c r="L13" s="120">
        <v>45962</v>
      </c>
      <c r="M13" s="120">
        <v>45992</v>
      </c>
      <c r="N13" s="336"/>
    </row>
    <row r="14" spans="1:14" x14ac:dyDescent="0.2">
      <c r="A14" s="105" t="s">
        <v>18</v>
      </c>
      <c r="B14" s="229">
        <f t="shared" ref="B14:I14" si="4">B7/B8</f>
        <v>0.56915739268680443</v>
      </c>
      <c r="C14" s="144">
        <f t="shared" si="4"/>
        <v>0.65886287625418061</v>
      </c>
      <c r="D14" s="230">
        <f t="shared" si="4"/>
        <v>0.69205298013245031</v>
      </c>
      <c r="E14" s="229">
        <f t="shared" si="4"/>
        <v>0.69512195121951215</v>
      </c>
      <c r="F14" s="144">
        <f t="shared" si="4"/>
        <v>0.67741935483870963</v>
      </c>
      <c r="G14" s="230">
        <f t="shared" si="4"/>
        <v>0.6735598227474151</v>
      </c>
      <c r="H14" s="229">
        <f t="shared" si="4"/>
        <v>0.67322834645669294</v>
      </c>
      <c r="I14" s="144">
        <f t="shared" si="4"/>
        <v>0.64067796610169492</v>
      </c>
      <c r="J14" s="230">
        <f>J7/J8</f>
        <v>0.75165125495376484</v>
      </c>
      <c r="K14" s="309">
        <f>K7/K8</f>
        <v>0.67320261437908502</v>
      </c>
      <c r="L14" s="309">
        <f t="shared" ref="L14:M14" si="5">L7/L8</f>
        <v>0.68205804749340371</v>
      </c>
      <c r="M14" s="309">
        <f t="shared" si="5"/>
        <v>0.66298342541436461</v>
      </c>
      <c r="N14" s="384">
        <f>N7/N8</f>
        <v>0.67144508670520231</v>
      </c>
    </row>
    <row r="15" spans="1:14" x14ac:dyDescent="0.2">
      <c r="A15" s="107" t="s">
        <v>13</v>
      </c>
      <c r="B15" s="160">
        <f t="shared" ref="B15:H15" si="6">B9/B8</f>
        <v>0.11605723370429252</v>
      </c>
      <c r="C15" s="158">
        <f t="shared" si="6"/>
        <v>9.3645484949832769E-2</v>
      </c>
      <c r="D15" s="159">
        <f t="shared" si="6"/>
        <v>0.13245033112582782</v>
      </c>
      <c r="E15" s="160">
        <f t="shared" si="6"/>
        <v>0.1875</v>
      </c>
      <c r="F15" s="158">
        <f t="shared" si="6"/>
        <v>0.1627565982404692</v>
      </c>
      <c r="G15" s="159">
        <f t="shared" si="6"/>
        <v>0.16100443131462333</v>
      </c>
      <c r="H15" s="160">
        <f t="shared" si="6"/>
        <v>0.15616797900262466</v>
      </c>
      <c r="I15" s="158">
        <f>I9/I8</f>
        <v>0.19548022598870057</v>
      </c>
      <c r="J15" s="159">
        <f>J9/J8</f>
        <v>0.17040951122853368</v>
      </c>
      <c r="K15" s="233">
        <f>K9/K8</f>
        <v>0.1383442265795207</v>
      </c>
      <c r="L15" s="233">
        <f t="shared" ref="L15:M15" si="7">L9/L8</f>
        <v>9.2348284960422161E-2</v>
      </c>
      <c r="M15" s="233">
        <f t="shared" si="7"/>
        <v>0.15745856353591159</v>
      </c>
      <c r="N15" s="383">
        <f>N9/N8</f>
        <v>0.14843930635838151</v>
      </c>
    </row>
    <row r="16" spans="1:14" x14ac:dyDescent="0.2">
      <c r="A16" s="96"/>
      <c r="B16" s="352"/>
      <c r="C16" s="353"/>
      <c r="D16" s="354"/>
      <c r="E16" s="163"/>
      <c r="F16" s="164"/>
      <c r="G16" s="165"/>
      <c r="H16" s="401"/>
      <c r="I16" s="402"/>
      <c r="J16" s="403"/>
      <c r="K16" s="163"/>
      <c r="L16" s="164"/>
      <c r="M16" s="165"/>
      <c r="N16" s="337"/>
    </row>
    <row r="17" spans="1:14" x14ac:dyDescent="0.2">
      <c r="A17" s="99" t="s">
        <v>19</v>
      </c>
      <c r="B17" s="341">
        <v>45658</v>
      </c>
      <c r="C17" s="342">
        <v>45689</v>
      </c>
      <c r="D17" s="343">
        <v>45717</v>
      </c>
      <c r="E17" s="341">
        <v>45748</v>
      </c>
      <c r="F17" s="342">
        <v>45778</v>
      </c>
      <c r="G17" s="343">
        <v>45809</v>
      </c>
      <c r="H17" s="341">
        <v>45839</v>
      </c>
      <c r="I17" s="342">
        <v>45870</v>
      </c>
      <c r="J17" s="343">
        <v>45901</v>
      </c>
      <c r="K17" s="341">
        <v>45931</v>
      </c>
      <c r="L17" s="342">
        <v>45962</v>
      </c>
      <c r="M17" s="343">
        <v>45992</v>
      </c>
      <c r="N17" s="199" t="s">
        <v>7</v>
      </c>
    </row>
    <row r="18" spans="1:14" x14ac:dyDescent="0.2">
      <c r="A18" s="105" t="s">
        <v>20</v>
      </c>
      <c r="B18" s="347">
        <v>244</v>
      </c>
      <c r="C18" s="348">
        <v>188</v>
      </c>
      <c r="D18" s="349">
        <v>158</v>
      </c>
      <c r="E18" s="347">
        <v>164</v>
      </c>
      <c r="F18" s="348">
        <v>194</v>
      </c>
      <c r="G18" s="349">
        <v>179</v>
      </c>
      <c r="H18" s="347">
        <v>207</v>
      </c>
      <c r="I18" s="348">
        <v>250</v>
      </c>
      <c r="J18" s="349">
        <v>155</v>
      </c>
      <c r="K18" s="347">
        <f>74+210</f>
        <v>284</v>
      </c>
      <c r="L18" s="348">
        <v>239</v>
      </c>
      <c r="M18" s="349">
        <v>199</v>
      </c>
      <c r="N18" s="209">
        <f>SUM(B18:M18)</f>
        <v>2461</v>
      </c>
    </row>
    <row r="19" spans="1:14" x14ac:dyDescent="0.2">
      <c r="A19" s="103" t="s">
        <v>21</v>
      </c>
      <c r="B19" s="146">
        <v>99</v>
      </c>
      <c r="C19" s="109">
        <v>116</v>
      </c>
      <c r="D19" s="147">
        <v>130</v>
      </c>
      <c r="E19" s="146">
        <v>120</v>
      </c>
      <c r="F19" s="109">
        <v>138</v>
      </c>
      <c r="G19" s="147">
        <v>120</v>
      </c>
      <c r="H19" s="146">
        <v>162</v>
      </c>
      <c r="I19" s="109">
        <v>197</v>
      </c>
      <c r="J19" s="147">
        <v>149</v>
      </c>
      <c r="K19" s="146">
        <f>45+113</f>
        <v>158</v>
      </c>
      <c r="L19" s="109">
        <v>135</v>
      </c>
      <c r="M19" s="147">
        <v>103</v>
      </c>
      <c r="N19" s="214">
        <f>SUM(B19:M19)</f>
        <v>1627</v>
      </c>
    </row>
    <row r="20" spans="1:14" x14ac:dyDescent="0.2">
      <c r="A20" s="103" t="s">
        <v>22</v>
      </c>
      <c r="B20" s="146">
        <v>167</v>
      </c>
      <c r="C20" s="109">
        <v>163</v>
      </c>
      <c r="D20" s="147">
        <v>180</v>
      </c>
      <c r="E20" s="146">
        <v>170</v>
      </c>
      <c r="F20" s="109">
        <v>161</v>
      </c>
      <c r="G20" s="147">
        <v>183</v>
      </c>
      <c r="H20" s="146">
        <v>197</v>
      </c>
      <c r="I20" s="109">
        <v>177</v>
      </c>
      <c r="J20" s="147">
        <v>246</v>
      </c>
      <c r="K20" s="146">
        <f>69+173</f>
        <v>242</v>
      </c>
      <c r="L20" s="109">
        <v>217</v>
      </c>
      <c r="M20" s="147">
        <v>224</v>
      </c>
      <c r="N20" s="214">
        <f>SUM(B20:M20)</f>
        <v>2327</v>
      </c>
    </row>
    <row r="21" spans="1:14" x14ac:dyDescent="0.2">
      <c r="A21" s="106" t="s">
        <v>23</v>
      </c>
      <c r="B21" s="129">
        <v>46</v>
      </c>
      <c r="C21" s="130">
        <v>75</v>
      </c>
      <c r="D21" s="131">
        <v>56</v>
      </c>
      <c r="E21" s="129">
        <v>79</v>
      </c>
      <c r="F21" s="130">
        <v>78</v>
      </c>
      <c r="G21" s="131">
        <v>86</v>
      </c>
      <c r="H21" s="129">
        <v>77</v>
      </c>
      <c r="I21" s="130">
        <v>88</v>
      </c>
      <c r="J21" s="131">
        <v>78</v>
      </c>
      <c r="K21" s="129">
        <f>29+78</f>
        <v>107</v>
      </c>
      <c r="L21" s="130">
        <v>97</v>
      </c>
      <c r="M21" s="131">
        <v>84</v>
      </c>
      <c r="N21" s="355">
        <f t="shared" ref="N21:N22" si="8">SUM(B21:M21)</f>
        <v>951</v>
      </c>
    </row>
    <row r="22" spans="1:14" x14ac:dyDescent="0.2">
      <c r="A22" s="99" t="s">
        <v>24</v>
      </c>
      <c r="B22" s="139">
        <f t="shared" ref="B22:H22" si="9">SUM(B18:B21)</f>
        <v>556</v>
      </c>
      <c r="C22" s="137">
        <f t="shared" si="9"/>
        <v>542</v>
      </c>
      <c r="D22" s="138">
        <f t="shared" si="9"/>
        <v>524</v>
      </c>
      <c r="E22" s="139">
        <f t="shared" si="9"/>
        <v>533</v>
      </c>
      <c r="F22" s="137">
        <f t="shared" si="9"/>
        <v>571</v>
      </c>
      <c r="G22" s="138">
        <f t="shared" si="9"/>
        <v>568</v>
      </c>
      <c r="H22" s="139">
        <f t="shared" si="9"/>
        <v>643</v>
      </c>
      <c r="I22" s="137">
        <f>SUM(I18:I21)</f>
        <v>712</v>
      </c>
      <c r="J22" s="138">
        <f>SUM(J18:J21)</f>
        <v>628</v>
      </c>
      <c r="K22" s="139">
        <f>SUM(K18:K21)</f>
        <v>791</v>
      </c>
      <c r="L22" s="139">
        <f>SUM(L18:L21)</f>
        <v>688</v>
      </c>
      <c r="M22" s="139">
        <f>SUM(M18:M21)</f>
        <v>610</v>
      </c>
      <c r="N22" s="199">
        <f t="shared" si="8"/>
        <v>7366</v>
      </c>
    </row>
    <row r="23" spans="1:14" x14ac:dyDescent="0.2">
      <c r="A23" s="98" t="s">
        <v>17</v>
      </c>
      <c r="B23" s="356">
        <v>45658</v>
      </c>
      <c r="C23" s="357">
        <v>45689</v>
      </c>
      <c r="D23" s="358">
        <v>45717</v>
      </c>
      <c r="E23" s="356">
        <v>45748</v>
      </c>
      <c r="F23" s="357">
        <v>45778</v>
      </c>
      <c r="G23" s="358">
        <v>45809</v>
      </c>
      <c r="H23" s="356">
        <v>45839</v>
      </c>
      <c r="I23" s="357">
        <v>45870</v>
      </c>
      <c r="J23" s="358">
        <v>45901</v>
      </c>
      <c r="K23" s="356">
        <v>45931</v>
      </c>
      <c r="L23" s="357">
        <v>45962</v>
      </c>
      <c r="M23" s="358">
        <v>45992</v>
      </c>
      <c r="N23" s="359"/>
    </row>
    <row r="24" spans="1:14" x14ac:dyDescent="0.2">
      <c r="A24" s="105" t="s">
        <v>20</v>
      </c>
      <c r="B24" s="360">
        <f t="shared" ref="B24:G24" si="10">B18/B$22</f>
        <v>0.43884892086330934</v>
      </c>
      <c r="C24" s="361">
        <f t="shared" si="10"/>
        <v>0.34686346863468637</v>
      </c>
      <c r="D24" s="362">
        <f t="shared" si="10"/>
        <v>0.30152671755725191</v>
      </c>
      <c r="E24" s="360">
        <f t="shared" si="10"/>
        <v>0.30769230769230771</v>
      </c>
      <c r="F24" s="361">
        <f t="shared" si="10"/>
        <v>0.33975481611208408</v>
      </c>
      <c r="G24" s="362">
        <f t="shared" si="10"/>
        <v>0.31514084507042256</v>
      </c>
      <c r="H24" s="360">
        <f t="shared" ref="H24" si="11">H18/H$22</f>
        <v>0.32192846034214617</v>
      </c>
      <c r="I24" s="361">
        <f t="shared" ref="I24:L27" si="12">I18/I$22</f>
        <v>0.351123595505618</v>
      </c>
      <c r="J24" s="362">
        <f t="shared" si="12"/>
        <v>0.24681528662420382</v>
      </c>
      <c r="K24" s="363">
        <f t="shared" si="12"/>
        <v>0.359039190897598</v>
      </c>
      <c r="L24" s="363">
        <f t="shared" si="12"/>
        <v>0.34738372093023256</v>
      </c>
      <c r="M24" s="363">
        <f t="shared" ref="M24" si="13">M18/M$22</f>
        <v>0.32622950819672131</v>
      </c>
      <c r="N24" s="384">
        <f>N18/$N$22</f>
        <v>0.33410263372250881</v>
      </c>
    </row>
    <row r="25" spans="1:14" x14ac:dyDescent="0.2">
      <c r="A25" s="103" t="s">
        <v>21</v>
      </c>
      <c r="B25" s="172">
        <f t="shared" ref="B25:C27" si="14">B19/B$22</f>
        <v>0.17805755395683454</v>
      </c>
      <c r="C25" s="170">
        <f t="shared" si="14"/>
        <v>0.2140221402214022</v>
      </c>
      <c r="D25" s="171">
        <f t="shared" ref="D25:E25" si="15">D19/D$22</f>
        <v>0.24809160305343511</v>
      </c>
      <c r="E25" s="172">
        <f t="shared" si="15"/>
        <v>0.22514071294559099</v>
      </c>
      <c r="F25" s="170">
        <f t="shared" ref="F25:G25" si="16">F19/F$22</f>
        <v>0.24168126094570927</v>
      </c>
      <c r="G25" s="171">
        <f t="shared" si="16"/>
        <v>0.21126760563380281</v>
      </c>
      <c r="H25" s="172">
        <f t="shared" ref="H25" si="17">H19/H$22</f>
        <v>0.25194401244167963</v>
      </c>
      <c r="I25" s="170">
        <f t="shared" si="12"/>
        <v>0.27668539325842695</v>
      </c>
      <c r="J25" s="171">
        <f t="shared" si="12"/>
        <v>0.23726114649681529</v>
      </c>
      <c r="K25" s="364">
        <f t="shared" si="12"/>
        <v>0.19974715549936789</v>
      </c>
      <c r="L25" s="364">
        <f t="shared" si="12"/>
        <v>0.19622093023255813</v>
      </c>
      <c r="M25" s="364">
        <f t="shared" ref="M25" si="18">M19/M$22</f>
        <v>0.16885245901639345</v>
      </c>
      <c r="N25" s="384">
        <f>N19/$N$22</f>
        <v>0.22087971762150421</v>
      </c>
    </row>
    <row r="26" spans="1:14" x14ac:dyDescent="0.2">
      <c r="A26" s="103" t="s">
        <v>22</v>
      </c>
      <c r="B26" s="172">
        <f t="shared" si="14"/>
        <v>0.30035971223021585</v>
      </c>
      <c r="C26" s="170">
        <f t="shared" si="14"/>
        <v>0.30073800738007378</v>
      </c>
      <c r="D26" s="171">
        <f t="shared" ref="D26:E26" si="19">D20/D$22</f>
        <v>0.34351145038167941</v>
      </c>
      <c r="E26" s="172">
        <f t="shared" si="19"/>
        <v>0.31894934333958724</v>
      </c>
      <c r="F26" s="170">
        <f t="shared" ref="F26:G26" si="20">F20/F$22</f>
        <v>0.28196147110332748</v>
      </c>
      <c r="G26" s="171">
        <f t="shared" si="20"/>
        <v>0.32218309859154931</v>
      </c>
      <c r="H26" s="172">
        <f t="shared" ref="H26" si="21">H20/H$22</f>
        <v>0.30637636080870917</v>
      </c>
      <c r="I26" s="170">
        <f t="shared" si="12"/>
        <v>0.24859550561797752</v>
      </c>
      <c r="J26" s="171">
        <f t="shared" si="12"/>
        <v>0.39171974522292996</v>
      </c>
      <c r="K26" s="364">
        <f t="shared" si="12"/>
        <v>0.30594184576485461</v>
      </c>
      <c r="L26" s="364">
        <f t="shared" si="12"/>
        <v>0.31540697674418605</v>
      </c>
      <c r="M26" s="364">
        <f t="shared" ref="M26" si="22">M20/M$22</f>
        <v>0.36721311475409835</v>
      </c>
      <c r="N26" s="384">
        <f t="shared" ref="N26:N27" si="23">N20/$N$22</f>
        <v>0.31591094216671189</v>
      </c>
    </row>
    <row r="27" spans="1:14" x14ac:dyDescent="0.2">
      <c r="A27" s="107" t="s">
        <v>23</v>
      </c>
      <c r="B27" s="160">
        <f t="shared" si="14"/>
        <v>8.2733812949640287E-2</v>
      </c>
      <c r="C27" s="158">
        <f t="shared" si="14"/>
        <v>0.13837638376383765</v>
      </c>
      <c r="D27" s="159">
        <f t="shared" ref="D27:E27" si="24">D21/D$22</f>
        <v>0.10687022900763359</v>
      </c>
      <c r="E27" s="160">
        <f t="shared" si="24"/>
        <v>0.14821763602251406</v>
      </c>
      <c r="F27" s="158">
        <f t="shared" ref="F27:G27" si="25">F21/F$22</f>
        <v>0.13660245183887915</v>
      </c>
      <c r="G27" s="159">
        <f t="shared" si="25"/>
        <v>0.15140845070422534</v>
      </c>
      <c r="H27" s="160">
        <f t="shared" ref="H27" si="26">H21/H$22</f>
        <v>0.11975116640746501</v>
      </c>
      <c r="I27" s="158">
        <f t="shared" si="12"/>
        <v>0.12359550561797752</v>
      </c>
      <c r="J27" s="159">
        <f t="shared" si="12"/>
        <v>0.12420382165605096</v>
      </c>
      <c r="K27" s="233">
        <f t="shared" si="12"/>
        <v>0.13527180783817952</v>
      </c>
      <c r="L27" s="233">
        <f t="shared" si="12"/>
        <v>0.14098837209302326</v>
      </c>
      <c r="M27" s="233">
        <f t="shared" ref="M27" si="27">M21/M$22</f>
        <v>0.13770491803278689</v>
      </c>
      <c r="N27" s="384">
        <f t="shared" si="23"/>
        <v>0.12910670648927505</v>
      </c>
    </row>
    <row r="28" spans="1:14" x14ac:dyDescent="0.2">
      <c r="A28" s="44"/>
      <c r="B28" s="163"/>
      <c r="C28" s="164"/>
      <c r="D28" s="165"/>
      <c r="E28" s="163"/>
      <c r="F28" s="164"/>
      <c r="G28" s="165"/>
      <c r="H28" s="401"/>
      <c r="I28" s="402"/>
      <c r="J28" s="403"/>
      <c r="K28" s="163"/>
      <c r="L28" s="164"/>
      <c r="M28" s="165"/>
      <c r="N28" s="337"/>
    </row>
    <row r="29" spans="1:14" x14ac:dyDescent="0.2">
      <c r="A29" s="99" t="s">
        <v>25</v>
      </c>
      <c r="B29" s="341">
        <v>45658</v>
      </c>
      <c r="C29" s="342">
        <v>45689</v>
      </c>
      <c r="D29" s="343">
        <v>45717</v>
      </c>
      <c r="E29" s="341">
        <v>45748</v>
      </c>
      <c r="F29" s="342">
        <v>45778</v>
      </c>
      <c r="G29" s="343">
        <v>45809</v>
      </c>
      <c r="H29" s="341">
        <v>45839</v>
      </c>
      <c r="I29" s="342">
        <v>45870</v>
      </c>
      <c r="J29" s="343">
        <v>45901</v>
      </c>
      <c r="K29" s="341">
        <v>45931</v>
      </c>
      <c r="L29" s="342">
        <v>45962</v>
      </c>
      <c r="M29" s="343">
        <v>45992</v>
      </c>
      <c r="N29" s="199" t="s">
        <v>7</v>
      </c>
    </row>
    <row r="30" spans="1:14" x14ac:dyDescent="0.2">
      <c r="A30" s="105" t="s">
        <v>26</v>
      </c>
      <c r="B30" s="347">
        <v>352</v>
      </c>
      <c r="C30" s="348">
        <v>336</v>
      </c>
      <c r="D30" s="349">
        <v>343</v>
      </c>
      <c r="E30" s="347">
        <v>355</v>
      </c>
      <c r="F30" s="348">
        <v>357</v>
      </c>
      <c r="G30" s="349">
        <v>342</v>
      </c>
      <c r="H30" s="347">
        <v>384</v>
      </c>
      <c r="I30" s="348">
        <v>434</v>
      </c>
      <c r="J30" s="349">
        <v>387</v>
      </c>
      <c r="K30" s="347">
        <f>126+352</f>
        <v>478</v>
      </c>
      <c r="L30" s="348">
        <v>413</v>
      </c>
      <c r="M30" s="349">
        <v>399</v>
      </c>
      <c r="N30" s="209">
        <f>SUM(B30:M30)</f>
        <v>4580</v>
      </c>
    </row>
    <row r="31" spans="1:14" x14ac:dyDescent="0.2">
      <c r="A31" s="103" t="s">
        <v>27</v>
      </c>
      <c r="B31" s="146">
        <v>153</v>
      </c>
      <c r="C31" s="109">
        <v>119</v>
      </c>
      <c r="D31" s="147">
        <v>101</v>
      </c>
      <c r="E31" s="146">
        <v>104</v>
      </c>
      <c r="F31" s="109">
        <v>124</v>
      </c>
      <c r="G31" s="147">
        <v>126</v>
      </c>
      <c r="H31" s="146">
        <v>159</v>
      </c>
      <c r="I31" s="109">
        <v>149</v>
      </c>
      <c r="J31" s="147">
        <v>103</v>
      </c>
      <c r="K31" s="146">
        <f>44+116</f>
        <v>160</v>
      </c>
      <c r="L31" s="109">
        <v>152</v>
      </c>
      <c r="M31" s="147">
        <v>117</v>
      </c>
      <c r="N31" s="214">
        <f t="shared" ref="N31:N36" si="28">SUM(B31:M31)</f>
        <v>1567</v>
      </c>
    </row>
    <row r="32" spans="1:14" x14ac:dyDescent="0.2">
      <c r="A32" s="103" t="s">
        <v>28</v>
      </c>
      <c r="B32" s="146">
        <v>42</v>
      </c>
      <c r="C32" s="109">
        <v>71</v>
      </c>
      <c r="D32" s="147">
        <v>63</v>
      </c>
      <c r="E32" s="146">
        <v>54</v>
      </c>
      <c r="F32" s="109">
        <v>66</v>
      </c>
      <c r="G32" s="147">
        <v>78</v>
      </c>
      <c r="H32" s="146">
        <v>79</v>
      </c>
      <c r="I32" s="109">
        <v>109</v>
      </c>
      <c r="J32" s="147">
        <v>100</v>
      </c>
      <c r="K32" s="146">
        <f>38+74</f>
        <v>112</v>
      </c>
      <c r="L32" s="109">
        <v>100</v>
      </c>
      <c r="M32" s="147">
        <v>78</v>
      </c>
      <c r="N32" s="214">
        <f t="shared" si="28"/>
        <v>952</v>
      </c>
    </row>
    <row r="33" spans="1:14" x14ac:dyDescent="0.2">
      <c r="A33" s="103" t="s">
        <v>29</v>
      </c>
      <c r="B33" s="146">
        <v>2</v>
      </c>
      <c r="C33" s="109">
        <v>3</v>
      </c>
      <c r="D33" s="147">
        <v>4</v>
      </c>
      <c r="E33" s="146">
        <v>3</v>
      </c>
      <c r="F33" s="109">
        <v>9</v>
      </c>
      <c r="G33" s="147">
        <v>8</v>
      </c>
      <c r="H33" s="146">
        <v>11</v>
      </c>
      <c r="I33" s="109">
        <v>6</v>
      </c>
      <c r="J33" s="147">
        <v>22</v>
      </c>
      <c r="K33" s="146">
        <f>4+12</f>
        <v>16</v>
      </c>
      <c r="L33" s="109">
        <v>9</v>
      </c>
      <c r="M33" s="147">
        <v>6</v>
      </c>
      <c r="N33" s="214">
        <f t="shared" si="28"/>
        <v>99</v>
      </c>
    </row>
    <row r="34" spans="1:14" x14ac:dyDescent="0.2">
      <c r="A34" s="103" t="s">
        <v>30</v>
      </c>
      <c r="B34" s="146">
        <v>7</v>
      </c>
      <c r="C34" s="109">
        <v>13</v>
      </c>
      <c r="D34" s="147">
        <v>13</v>
      </c>
      <c r="E34" s="146">
        <v>17</v>
      </c>
      <c r="F34" s="109">
        <v>15</v>
      </c>
      <c r="G34" s="147">
        <v>14</v>
      </c>
      <c r="H34" s="146">
        <v>10</v>
      </c>
      <c r="I34" s="109">
        <v>14</v>
      </c>
      <c r="J34" s="147">
        <v>16</v>
      </c>
      <c r="K34" s="146">
        <f>5+20</f>
        <v>25</v>
      </c>
      <c r="L34" s="109">
        <v>14</v>
      </c>
      <c r="M34" s="147">
        <v>10</v>
      </c>
      <c r="N34" s="214">
        <f t="shared" si="28"/>
        <v>168</v>
      </c>
    </row>
    <row r="35" spans="1:14" x14ac:dyDescent="0.2">
      <c r="A35" s="106" t="s">
        <v>31</v>
      </c>
      <c r="B35" s="129"/>
      <c r="C35" s="130"/>
      <c r="D35" s="131"/>
      <c r="E35" s="129"/>
      <c r="F35" s="130"/>
      <c r="G35" s="131"/>
      <c r="H35" s="129"/>
      <c r="I35" s="130"/>
      <c r="J35" s="131"/>
      <c r="K35" s="129"/>
      <c r="L35" s="130"/>
      <c r="M35" s="131"/>
      <c r="N35" s="355">
        <f t="shared" si="28"/>
        <v>0</v>
      </c>
    </row>
    <row r="36" spans="1:14" x14ac:dyDescent="0.2">
      <c r="A36" s="99" t="s">
        <v>24</v>
      </c>
      <c r="B36" s="139">
        <f t="shared" ref="B36:H36" si="29">SUM(B30:B35)</f>
        <v>556</v>
      </c>
      <c r="C36" s="137">
        <f t="shared" si="29"/>
        <v>542</v>
      </c>
      <c r="D36" s="138">
        <f t="shared" si="29"/>
        <v>524</v>
      </c>
      <c r="E36" s="139">
        <f t="shared" si="29"/>
        <v>533</v>
      </c>
      <c r="F36" s="137">
        <f t="shared" si="29"/>
        <v>571</v>
      </c>
      <c r="G36" s="138">
        <f t="shared" si="29"/>
        <v>568</v>
      </c>
      <c r="H36" s="139">
        <f t="shared" si="29"/>
        <v>643</v>
      </c>
      <c r="I36" s="137">
        <f>SUM(I30:I35)</f>
        <v>712</v>
      </c>
      <c r="J36" s="138">
        <f>SUM(J30:J35)</f>
        <v>628</v>
      </c>
      <c r="K36" s="139">
        <f>SUM(K30:K35)</f>
        <v>791</v>
      </c>
      <c r="L36" s="139">
        <f>SUM(L30:L35)</f>
        <v>688</v>
      </c>
      <c r="M36" s="139">
        <f>SUM(M30:M35)</f>
        <v>610</v>
      </c>
      <c r="N36" s="199">
        <f t="shared" si="28"/>
        <v>7366</v>
      </c>
    </row>
    <row r="37" spans="1:14" x14ac:dyDescent="0.2">
      <c r="A37" s="98" t="s">
        <v>17</v>
      </c>
      <c r="B37" s="356">
        <v>45658</v>
      </c>
      <c r="C37" s="357">
        <v>45689</v>
      </c>
      <c r="D37" s="358">
        <v>45717</v>
      </c>
      <c r="E37" s="356">
        <v>45748</v>
      </c>
      <c r="F37" s="357">
        <v>45778</v>
      </c>
      <c r="G37" s="358">
        <v>45809</v>
      </c>
      <c r="H37" s="356">
        <v>45839</v>
      </c>
      <c r="I37" s="357">
        <v>45870</v>
      </c>
      <c r="J37" s="358">
        <v>45901</v>
      </c>
      <c r="K37" s="356">
        <v>45931</v>
      </c>
      <c r="L37" s="357">
        <v>45962</v>
      </c>
      <c r="M37" s="358">
        <v>45992</v>
      </c>
      <c r="N37" s="359"/>
    </row>
    <row r="38" spans="1:14" x14ac:dyDescent="0.2">
      <c r="A38" s="105" t="s">
        <v>26</v>
      </c>
      <c r="B38" s="360">
        <f t="shared" ref="B38:G38" si="30">B30/B$36</f>
        <v>0.63309352517985606</v>
      </c>
      <c r="C38" s="361">
        <f t="shared" si="30"/>
        <v>0.61992619926199266</v>
      </c>
      <c r="D38" s="362">
        <f t="shared" si="30"/>
        <v>0.65458015267175573</v>
      </c>
      <c r="E38" s="360">
        <f t="shared" si="30"/>
        <v>0.66604127579737338</v>
      </c>
      <c r="F38" s="361">
        <f t="shared" si="30"/>
        <v>0.62521891418563924</v>
      </c>
      <c r="G38" s="362">
        <f t="shared" si="30"/>
        <v>0.602112676056338</v>
      </c>
      <c r="H38" s="360">
        <f t="shared" ref="H38" si="31">H30/H$36</f>
        <v>0.59720062208398139</v>
      </c>
      <c r="I38" s="361">
        <f t="shared" ref="I38:L42" si="32">I30/I$36</f>
        <v>0.6095505617977528</v>
      </c>
      <c r="J38" s="362">
        <f t="shared" si="32"/>
        <v>0.61624203821656054</v>
      </c>
      <c r="K38" s="363">
        <f t="shared" si="32"/>
        <v>0.60429835651074593</v>
      </c>
      <c r="L38" s="363">
        <f t="shared" si="32"/>
        <v>0.60029069767441856</v>
      </c>
      <c r="M38" s="363">
        <f t="shared" ref="M38" si="33">M30/M$36</f>
        <v>0.65409836065573768</v>
      </c>
      <c r="N38" s="384">
        <f>N30/$N$36</f>
        <v>0.62177572631007327</v>
      </c>
    </row>
    <row r="39" spans="1:14" x14ac:dyDescent="0.2">
      <c r="A39" s="103" t="s">
        <v>27</v>
      </c>
      <c r="B39" s="172">
        <f t="shared" ref="B39:C42" si="34">B31/B$36</f>
        <v>0.27517985611510792</v>
      </c>
      <c r="C39" s="170">
        <f t="shared" si="34"/>
        <v>0.21955719557195572</v>
      </c>
      <c r="D39" s="171">
        <f t="shared" ref="D39:E39" si="35">D31/D$36</f>
        <v>0.19274809160305342</v>
      </c>
      <c r="E39" s="172">
        <f t="shared" si="35"/>
        <v>0.1951219512195122</v>
      </c>
      <c r="F39" s="170">
        <f t="shared" ref="F39:G39" si="36">F31/F$36</f>
        <v>0.21716287215411559</v>
      </c>
      <c r="G39" s="171">
        <f t="shared" si="36"/>
        <v>0.22183098591549297</v>
      </c>
      <c r="H39" s="172">
        <f t="shared" ref="H39" si="37">H31/H$36</f>
        <v>0.24727838258164853</v>
      </c>
      <c r="I39" s="170">
        <f t="shared" si="32"/>
        <v>0.20926966292134833</v>
      </c>
      <c r="J39" s="171">
        <f t="shared" si="32"/>
        <v>0.16401273885350318</v>
      </c>
      <c r="K39" s="364">
        <f t="shared" si="32"/>
        <v>0.20227560050568899</v>
      </c>
      <c r="L39" s="364">
        <f t="shared" si="32"/>
        <v>0.22093023255813954</v>
      </c>
      <c r="M39" s="364">
        <f t="shared" ref="M39" si="38">M31/M$36</f>
        <v>0.19180327868852459</v>
      </c>
      <c r="N39" s="384">
        <f t="shared" ref="N39:N42" si="39">N31/$N$36</f>
        <v>0.21273418408905784</v>
      </c>
    </row>
    <row r="40" spans="1:14" x14ac:dyDescent="0.2">
      <c r="A40" s="103" t="s">
        <v>28</v>
      </c>
      <c r="B40" s="172">
        <f t="shared" si="34"/>
        <v>7.5539568345323743E-2</v>
      </c>
      <c r="C40" s="170">
        <f t="shared" si="34"/>
        <v>0.13099630996309963</v>
      </c>
      <c r="D40" s="171">
        <f t="shared" ref="D40:E40" si="40">D32/D$36</f>
        <v>0.12022900763358779</v>
      </c>
      <c r="E40" s="172">
        <f t="shared" si="40"/>
        <v>0.10131332082551595</v>
      </c>
      <c r="F40" s="170">
        <f t="shared" ref="F40:G40" si="41">F32/F$36</f>
        <v>0.11558669001751314</v>
      </c>
      <c r="G40" s="171">
        <f t="shared" si="41"/>
        <v>0.13732394366197184</v>
      </c>
      <c r="H40" s="172">
        <f t="shared" ref="H40" si="42">H32/H$36</f>
        <v>0.12286158631415241</v>
      </c>
      <c r="I40" s="170">
        <f t="shared" si="32"/>
        <v>0.15308988764044945</v>
      </c>
      <c r="J40" s="171">
        <f t="shared" si="32"/>
        <v>0.15923566878980891</v>
      </c>
      <c r="K40" s="364">
        <f t="shared" si="32"/>
        <v>0.1415929203539823</v>
      </c>
      <c r="L40" s="364">
        <f t="shared" si="32"/>
        <v>0.14534883720930233</v>
      </c>
      <c r="M40" s="364">
        <f t="shared" ref="M40" si="43">M32/M$36</f>
        <v>0.12786885245901639</v>
      </c>
      <c r="N40" s="384">
        <f t="shared" si="39"/>
        <v>0.12924246538148249</v>
      </c>
    </row>
    <row r="41" spans="1:14" x14ac:dyDescent="0.2">
      <c r="A41" s="103" t="s">
        <v>32</v>
      </c>
      <c r="B41" s="172">
        <f t="shared" si="34"/>
        <v>3.5971223021582736E-3</v>
      </c>
      <c r="C41" s="170">
        <f t="shared" si="34"/>
        <v>5.5350553505535052E-3</v>
      </c>
      <c r="D41" s="171">
        <f t="shared" ref="D41:E41" si="44">D33/D$36</f>
        <v>7.6335877862595417E-3</v>
      </c>
      <c r="E41" s="172">
        <f t="shared" si="44"/>
        <v>5.6285178236397749E-3</v>
      </c>
      <c r="F41" s="170">
        <f t="shared" ref="F41:G41" si="45">F33/F$36</f>
        <v>1.5761821366024518E-2</v>
      </c>
      <c r="G41" s="171">
        <f t="shared" si="45"/>
        <v>1.4084507042253521E-2</v>
      </c>
      <c r="H41" s="172">
        <f t="shared" ref="H41" si="46">H33/H$36</f>
        <v>1.7107309486780714E-2</v>
      </c>
      <c r="I41" s="170">
        <f t="shared" si="32"/>
        <v>8.4269662921348312E-3</v>
      </c>
      <c r="J41" s="171">
        <f t="shared" si="32"/>
        <v>3.5031847133757961E-2</v>
      </c>
      <c r="K41" s="364">
        <f t="shared" si="32"/>
        <v>2.0227560050568902E-2</v>
      </c>
      <c r="L41" s="364">
        <f t="shared" si="32"/>
        <v>1.308139534883721E-2</v>
      </c>
      <c r="M41" s="364">
        <f t="shared" ref="M41" si="47">M33/M$36</f>
        <v>9.8360655737704927E-3</v>
      </c>
      <c r="N41" s="384">
        <f t="shared" si="39"/>
        <v>1.3440130328536519E-2</v>
      </c>
    </row>
    <row r="42" spans="1:14" x14ac:dyDescent="0.2">
      <c r="A42" s="103" t="s">
        <v>30</v>
      </c>
      <c r="B42" s="172">
        <f t="shared" si="34"/>
        <v>1.2589928057553957E-2</v>
      </c>
      <c r="C42" s="170">
        <f t="shared" si="34"/>
        <v>2.3985239852398525E-2</v>
      </c>
      <c r="D42" s="171">
        <f t="shared" ref="D42:E42" si="48">D34/D$36</f>
        <v>2.4809160305343511E-2</v>
      </c>
      <c r="E42" s="172">
        <f t="shared" si="48"/>
        <v>3.1894934333958722E-2</v>
      </c>
      <c r="F42" s="170">
        <f t="shared" ref="F42:G42" si="49">F34/F$36</f>
        <v>2.6269702276707531E-2</v>
      </c>
      <c r="G42" s="171">
        <f t="shared" si="49"/>
        <v>2.464788732394366E-2</v>
      </c>
      <c r="H42" s="172">
        <f t="shared" ref="H42" si="50">H34/H$36</f>
        <v>1.5552099533437015E-2</v>
      </c>
      <c r="I42" s="170">
        <f t="shared" si="32"/>
        <v>1.9662921348314606E-2</v>
      </c>
      <c r="J42" s="171">
        <f t="shared" si="32"/>
        <v>2.5477707006369428E-2</v>
      </c>
      <c r="K42" s="364">
        <f t="shared" si="32"/>
        <v>3.1605562579013903E-2</v>
      </c>
      <c r="L42" s="364">
        <f t="shared" si="32"/>
        <v>2.0348837209302327E-2</v>
      </c>
      <c r="M42" s="364">
        <f t="shared" ref="M42" si="51">M34/M$36</f>
        <v>1.6393442622950821E-2</v>
      </c>
      <c r="N42" s="384">
        <f t="shared" si="39"/>
        <v>2.280749389084985E-2</v>
      </c>
    </row>
    <row r="43" spans="1:14" x14ac:dyDescent="0.2">
      <c r="A43" s="107" t="s">
        <v>31</v>
      </c>
      <c r="B43" s="160"/>
      <c r="C43" s="158"/>
      <c r="D43" s="159"/>
      <c r="E43" s="160"/>
      <c r="F43" s="158"/>
      <c r="G43" s="159"/>
      <c r="H43" s="233"/>
      <c r="I43" s="234"/>
      <c r="J43" s="235"/>
      <c r="K43" s="233"/>
      <c r="L43" s="234"/>
      <c r="M43" s="235"/>
      <c r="N43" s="365"/>
    </row>
    <row r="44" spans="1:14" x14ac:dyDescent="0.2">
      <c r="A44" s="96"/>
      <c r="B44" s="352"/>
      <c r="C44" s="353"/>
      <c r="D44" s="165"/>
      <c r="E44" s="163"/>
      <c r="F44" s="164"/>
      <c r="G44" s="165"/>
      <c r="H44" s="401"/>
      <c r="I44" s="402"/>
      <c r="J44" s="403"/>
      <c r="K44" s="163"/>
      <c r="L44" s="164"/>
      <c r="M44" s="165"/>
      <c r="N44" s="337"/>
    </row>
    <row r="45" spans="1:14" x14ac:dyDescent="0.2">
      <c r="A45" s="99" t="s">
        <v>33</v>
      </c>
      <c r="B45" s="341">
        <v>45658</v>
      </c>
      <c r="C45" s="342">
        <v>45689</v>
      </c>
      <c r="D45" s="343">
        <v>45717</v>
      </c>
      <c r="E45" s="341">
        <v>45748</v>
      </c>
      <c r="F45" s="342">
        <v>45778</v>
      </c>
      <c r="G45" s="343">
        <v>45809</v>
      </c>
      <c r="H45" s="341">
        <v>45839</v>
      </c>
      <c r="I45" s="342">
        <v>45870</v>
      </c>
      <c r="J45" s="343">
        <v>45901</v>
      </c>
      <c r="K45" s="341">
        <v>45931</v>
      </c>
      <c r="L45" s="342">
        <v>45962</v>
      </c>
      <c r="M45" s="343">
        <v>45992</v>
      </c>
      <c r="N45" s="199" t="s">
        <v>7</v>
      </c>
    </row>
    <row r="46" spans="1:14" x14ac:dyDescent="0.2">
      <c r="A46" s="105" t="s">
        <v>34</v>
      </c>
      <c r="B46" s="347">
        <v>420</v>
      </c>
      <c r="C46" s="348">
        <v>391</v>
      </c>
      <c r="D46" s="349">
        <v>369</v>
      </c>
      <c r="E46" s="347">
        <v>367</v>
      </c>
      <c r="F46" s="348">
        <v>402</v>
      </c>
      <c r="G46" s="349">
        <v>406</v>
      </c>
      <c r="H46" s="347">
        <v>455</v>
      </c>
      <c r="I46" s="348">
        <v>493</v>
      </c>
      <c r="J46" s="349">
        <v>397</v>
      </c>
      <c r="K46" s="347">
        <f>156+402</f>
        <v>558</v>
      </c>
      <c r="L46" s="348">
        <v>492</v>
      </c>
      <c r="M46" s="349">
        <v>442</v>
      </c>
      <c r="N46" s="209">
        <f>SUM(B46:M46)</f>
        <v>5192</v>
      </c>
    </row>
    <row r="47" spans="1:14" x14ac:dyDescent="0.2">
      <c r="A47" s="103" t="s">
        <v>35</v>
      </c>
      <c r="B47" s="146">
        <v>5</v>
      </c>
      <c r="C47" s="109">
        <v>2</v>
      </c>
      <c r="D47" s="147">
        <v>6</v>
      </c>
      <c r="E47" s="146">
        <v>6</v>
      </c>
      <c r="F47" s="109">
        <v>6</v>
      </c>
      <c r="G47" s="147">
        <v>10</v>
      </c>
      <c r="H47" s="146">
        <v>9</v>
      </c>
      <c r="I47" s="109">
        <v>7</v>
      </c>
      <c r="J47" s="147">
        <v>16</v>
      </c>
      <c r="K47" s="146">
        <f>3+10</f>
        <v>13</v>
      </c>
      <c r="L47" s="109">
        <v>7</v>
      </c>
      <c r="M47" s="147">
        <v>5</v>
      </c>
      <c r="N47" s="214">
        <f t="shared" ref="N47:N50" si="52">SUM(B47:M47)</f>
        <v>92</v>
      </c>
    </row>
    <row r="48" spans="1:14" x14ac:dyDescent="0.2">
      <c r="A48" s="103" t="s">
        <v>36</v>
      </c>
      <c r="B48" s="146">
        <v>8</v>
      </c>
      <c r="C48" s="109">
        <v>12</v>
      </c>
      <c r="D48" s="147">
        <v>11</v>
      </c>
      <c r="E48" s="146">
        <v>11</v>
      </c>
      <c r="F48" s="109">
        <v>12</v>
      </c>
      <c r="G48" s="147">
        <v>16</v>
      </c>
      <c r="H48" s="146">
        <v>12</v>
      </c>
      <c r="I48" s="109">
        <v>14</v>
      </c>
      <c r="J48" s="147">
        <v>12</v>
      </c>
      <c r="K48" s="146">
        <f>7+14</f>
        <v>21</v>
      </c>
      <c r="L48" s="109">
        <v>17</v>
      </c>
      <c r="M48" s="147">
        <v>15</v>
      </c>
      <c r="N48" s="214">
        <f t="shared" si="52"/>
        <v>161</v>
      </c>
    </row>
    <row r="49" spans="1:14" x14ac:dyDescent="0.2">
      <c r="A49" s="103" t="s">
        <v>37</v>
      </c>
      <c r="B49" s="146">
        <v>13</v>
      </c>
      <c r="C49" s="109">
        <v>15</v>
      </c>
      <c r="D49" s="147">
        <v>15</v>
      </c>
      <c r="E49" s="146">
        <v>16</v>
      </c>
      <c r="F49" s="109">
        <v>9</v>
      </c>
      <c r="G49" s="147">
        <v>8</v>
      </c>
      <c r="H49" s="146">
        <v>12</v>
      </c>
      <c r="I49" s="109">
        <v>17</v>
      </c>
      <c r="J49" s="147">
        <v>12</v>
      </c>
      <c r="K49" s="146">
        <f>1+13</f>
        <v>14</v>
      </c>
      <c r="L49" s="109">
        <v>9</v>
      </c>
      <c r="M49" s="147">
        <v>8</v>
      </c>
      <c r="N49" s="214">
        <f t="shared" si="52"/>
        <v>148</v>
      </c>
    </row>
    <row r="50" spans="1:14" x14ac:dyDescent="0.2">
      <c r="A50" s="103" t="s">
        <v>38</v>
      </c>
      <c r="B50" s="146">
        <v>110</v>
      </c>
      <c r="C50" s="109">
        <v>122</v>
      </c>
      <c r="D50" s="147">
        <v>123</v>
      </c>
      <c r="E50" s="146">
        <v>133</v>
      </c>
      <c r="F50" s="109">
        <v>142</v>
      </c>
      <c r="G50" s="147">
        <v>128</v>
      </c>
      <c r="H50" s="146">
        <v>155</v>
      </c>
      <c r="I50" s="109">
        <v>181</v>
      </c>
      <c r="J50" s="147">
        <v>191</v>
      </c>
      <c r="K50" s="146">
        <f>50+135</f>
        <v>185</v>
      </c>
      <c r="L50" s="109">
        <v>163</v>
      </c>
      <c r="M50" s="147">
        <v>140</v>
      </c>
      <c r="N50" s="214">
        <f t="shared" si="52"/>
        <v>1773</v>
      </c>
    </row>
    <row r="51" spans="1:14" x14ac:dyDescent="0.2">
      <c r="A51" s="103" t="s">
        <v>30</v>
      </c>
      <c r="B51" s="146"/>
      <c r="C51" s="109"/>
      <c r="D51" s="147"/>
      <c r="E51" s="146"/>
      <c r="F51" s="109"/>
      <c r="G51" s="147"/>
      <c r="H51" s="146"/>
      <c r="I51" s="109"/>
      <c r="J51" s="147"/>
      <c r="K51" s="146"/>
      <c r="L51" s="109"/>
      <c r="M51" s="147"/>
      <c r="N51" s="214"/>
    </row>
    <row r="52" spans="1:14" x14ac:dyDescent="0.2">
      <c r="A52" s="106" t="s">
        <v>31</v>
      </c>
      <c r="B52" s="155"/>
      <c r="C52" s="156"/>
      <c r="D52" s="157"/>
      <c r="E52" s="155"/>
      <c r="F52" s="156"/>
      <c r="G52" s="157"/>
      <c r="H52" s="155"/>
      <c r="I52" s="156"/>
      <c r="J52" s="157"/>
      <c r="K52" s="155"/>
      <c r="L52" s="156"/>
      <c r="M52" s="157"/>
      <c r="N52" s="355"/>
    </row>
    <row r="53" spans="1:14" x14ac:dyDescent="0.2">
      <c r="A53" s="95" t="s">
        <v>24</v>
      </c>
      <c r="B53" s="401">
        <f t="shared" ref="B53:H53" si="53">SUM(B46:B52)</f>
        <v>556</v>
      </c>
      <c r="C53" s="402">
        <f t="shared" si="53"/>
        <v>542</v>
      </c>
      <c r="D53" s="403">
        <f t="shared" si="53"/>
        <v>524</v>
      </c>
      <c r="E53" s="401">
        <f t="shared" si="53"/>
        <v>533</v>
      </c>
      <c r="F53" s="402">
        <f t="shared" si="53"/>
        <v>571</v>
      </c>
      <c r="G53" s="403">
        <f t="shared" si="53"/>
        <v>568</v>
      </c>
      <c r="H53" s="401">
        <f t="shared" si="53"/>
        <v>643</v>
      </c>
      <c r="I53" s="402">
        <f>SUM(I46:I52)</f>
        <v>712</v>
      </c>
      <c r="J53" s="403">
        <f>SUM(J46:J52)</f>
        <v>628</v>
      </c>
      <c r="K53" s="401">
        <f>SUM(K46:K52)</f>
        <v>791</v>
      </c>
      <c r="L53" s="401">
        <f t="shared" ref="L53:M53" si="54">SUM(L46:L52)</f>
        <v>688</v>
      </c>
      <c r="M53" s="401">
        <f t="shared" si="54"/>
        <v>610</v>
      </c>
      <c r="N53" s="368">
        <f>SUM(B53:M53)</f>
        <v>7366</v>
      </c>
    </row>
    <row r="54" spans="1:14" x14ac:dyDescent="0.2">
      <c r="A54" s="99" t="s">
        <v>17</v>
      </c>
      <c r="B54" s="120">
        <v>45658</v>
      </c>
      <c r="C54" s="121">
        <v>45689</v>
      </c>
      <c r="D54" s="122">
        <v>45717</v>
      </c>
      <c r="E54" s="120">
        <v>45748</v>
      </c>
      <c r="F54" s="121">
        <v>45778</v>
      </c>
      <c r="G54" s="122">
        <v>45809</v>
      </c>
      <c r="H54" s="120">
        <v>45839</v>
      </c>
      <c r="I54" s="121">
        <v>45870</v>
      </c>
      <c r="J54" s="122">
        <v>45901</v>
      </c>
      <c r="K54" s="120">
        <v>45931</v>
      </c>
      <c r="L54" s="121">
        <v>45962</v>
      </c>
      <c r="M54" s="122">
        <v>45992</v>
      </c>
      <c r="N54" s="336"/>
    </row>
    <row r="55" spans="1:14" x14ac:dyDescent="0.2">
      <c r="A55" s="105" t="s">
        <v>34</v>
      </c>
      <c r="B55" s="229">
        <f t="shared" ref="B55:G55" si="55">B46/B$53</f>
        <v>0.75539568345323738</v>
      </c>
      <c r="C55" s="144">
        <f t="shared" si="55"/>
        <v>0.72140221402214022</v>
      </c>
      <c r="D55" s="230">
        <f t="shared" si="55"/>
        <v>0.70419847328244278</v>
      </c>
      <c r="E55" s="229">
        <f t="shared" si="55"/>
        <v>0.68855534709193245</v>
      </c>
      <c r="F55" s="144">
        <f t="shared" si="55"/>
        <v>0.70402802101576178</v>
      </c>
      <c r="G55" s="230">
        <f t="shared" si="55"/>
        <v>0.71478873239436624</v>
      </c>
      <c r="H55" s="229">
        <f t="shared" ref="H55" si="56">H46/H$53</f>
        <v>0.70762052877138415</v>
      </c>
      <c r="I55" s="144">
        <f t="shared" ref="I55:L59" si="57">I46/I$53</f>
        <v>0.69241573033707871</v>
      </c>
      <c r="J55" s="230">
        <f t="shared" si="57"/>
        <v>0.63216560509554143</v>
      </c>
      <c r="K55" s="309">
        <f t="shared" si="57"/>
        <v>0.70543615676359039</v>
      </c>
      <c r="L55" s="309">
        <f t="shared" si="57"/>
        <v>0.71511627906976749</v>
      </c>
      <c r="M55" s="309">
        <f t="shared" ref="M55" si="58">M46/M$53</f>
        <v>0.72459016393442621</v>
      </c>
      <c r="N55" s="371">
        <f>N46/$N$53</f>
        <v>0.70486016834102638</v>
      </c>
    </row>
    <row r="56" spans="1:14" x14ac:dyDescent="0.2">
      <c r="A56" s="103" t="s">
        <v>35</v>
      </c>
      <c r="B56" s="172">
        <f t="shared" ref="B56:C59" si="59">B47/B$53</f>
        <v>8.9928057553956831E-3</v>
      </c>
      <c r="C56" s="170">
        <f t="shared" si="59"/>
        <v>3.6900369003690036E-3</v>
      </c>
      <c r="D56" s="171">
        <f t="shared" ref="D56:E56" si="60">D47/D$53</f>
        <v>1.1450381679389313E-2</v>
      </c>
      <c r="E56" s="172">
        <f t="shared" si="60"/>
        <v>1.125703564727955E-2</v>
      </c>
      <c r="F56" s="170">
        <f t="shared" ref="F56:G56" si="61">F47/F$53</f>
        <v>1.0507880910683012E-2</v>
      </c>
      <c r="G56" s="171">
        <f t="shared" si="61"/>
        <v>1.7605633802816902E-2</v>
      </c>
      <c r="H56" s="172">
        <f t="shared" ref="H56" si="62">H47/H$53</f>
        <v>1.3996889580093312E-2</v>
      </c>
      <c r="I56" s="170">
        <f t="shared" si="57"/>
        <v>9.8314606741573031E-3</v>
      </c>
      <c r="J56" s="171">
        <f t="shared" si="57"/>
        <v>2.5477707006369428E-2</v>
      </c>
      <c r="K56" s="364">
        <f t="shared" si="57"/>
        <v>1.643489254108723E-2</v>
      </c>
      <c r="L56" s="364">
        <f t="shared" si="57"/>
        <v>1.0174418604651164E-2</v>
      </c>
      <c r="M56" s="364">
        <f t="shared" ref="M56" si="63">M47/M$53</f>
        <v>8.1967213114754103E-3</v>
      </c>
      <c r="N56" s="371">
        <f t="shared" ref="N56:N59" si="64">N47/$N$53</f>
        <v>1.2489818083084442E-2</v>
      </c>
    </row>
    <row r="57" spans="1:14" x14ac:dyDescent="0.2">
      <c r="A57" s="103" t="s">
        <v>36</v>
      </c>
      <c r="B57" s="172">
        <f t="shared" si="59"/>
        <v>1.4388489208633094E-2</v>
      </c>
      <c r="C57" s="170">
        <f t="shared" si="59"/>
        <v>2.2140221402214021E-2</v>
      </c>
      <c r="D57" s="171">
        <f t="shared" ref="D57:E57" si="65">D48/D$53</f>
        <v>2.0992366412213741E-2</v>
      </c>
      <c r="E57" s="172">
        <f t="shared" si="65"/>
        <v>2.0637898686679174E-2</v>
      </c>
      <c r="F57" s="170">
        <f t="shared" ref="F57:G57" si="66">F48/F$53</f>
        <v>2.1015761821366025E-2</v>
      </c>
      <c r="G57" s="171">
        <f t="shared" si="66"/>
        <v>2.8169014084507043E-2</v>
      </c>
      <c r="H57" s="172">
        <f t="shared" ref="H57" si="67">H48/H$53</f>
        <v>1.8662519440124418E-2</v>
      </c>
      <c r="I57" s="170">
        <f t="shared" si="57"/>
        <v>1.9662921348314606E-2</v>
      </c>
      <c r="J57" s="171">
        <f t="shared" si="57"/>
        <v>1.9108280254777069E-2</v>
      </c>
      <c r="K57" s="364">
        <f t="shared" si="57"/>
        <v>2.6548672566371681E-2</v>
      </c>
      <c r="L57" s="364">
        <f t="shared" si="57"/>
        <v>2.4709302325581394E-2</v>
      </c>
      <c r="M57" s="364">
        <f t="shared" ref="M57" si="68">M48/M$53</f>
        <v>2.4590163934426229E-2</v>
      </c>
      <c r="N57" s="371">
        <f t="shared" si="64"/>
        <v>2.1857181645397773E-2</v>
      </c>
    </row>
    <row r="58" spans="1:14" x14ac:dyDescent="0.2">
      <c r="A58" s="103" t="s">
        <v>37</v>
      </c>
      <c r="B58" s="172">
        <f t="shared" si="59"/>
        <v>2.3381294964028777E-2</v>
      </c>
      <c r="C58" s="170">
        <f t="shared" si="59"/>
        <v>2.7675276752767528E-2</v>
      </c>
      <c r="D58" s="171">
        <f t="shared" ref="D58:E58" si="69">D49/D$53</f>
        <v>2.8625954198473282E-2</v>
      </c>
      <c r="E58" s="172">
        <f t="shared" si="69"/>
        <v>3.0018761726078799E-2</v>
      </c>
      <c r="F58" s="170">
        <f t="shared" ref="F58:G58" si="70">F49/F$53</f>
        <v>1.5761821366024518E-2</v>
      </c>
      <c r="G58" s="171">
        <f t="shared" si="70"/>
        <v>1.4084507042253521E-2</v>
      </c>
      <c r="H58" s="172">
        <f t="shared" ref="H58" si="71">H49/H$53</f>
        <v>1.8662519440124418E-2</v>
      </c>
      <c r="I58" s="170">
        <f t="shared" si="57"/>
        <v>2.3876404494382022E-2</v>
      </c>
      <c r="J58" s="171">
        <f t="shared" si="57"/>
        <v>1.9108280254777069E-2</v>
      </c>
      <c r="K58" s="364">
        <f t="shared" si="57"/>
        <v>1.7699115044247787E-2</v>
      </c>
      <c r="L58" s="364">
        <f t="shared" si="57"/>
        <v>1.308139534883721E-2</v>
      </c>
      <c r="M58" s="364">
        <f t="shared" ref="M58" si="72">M49/M$53</f>
        <v>1.3114754098360656E-2</v>
      </c>
      <c r="N58" s="371">
        <f t="shared" si="64"/>
        <v>2.0092316046701059E-2</v>
      </c>
    </row>
    <row r="59" spans="1:14" x14ac:dyDescent="0.2">
      <c r="A59" s="103" t="s">
        <v>39</v>
      </c>
      <c r="B59" s="172">
        <f t="shared" si="59"/>
        <v>0.19784172661870503</v>
      </c>
      <c r="C59" s="170">
        <f t="shared" si="59"/>
        <v>0.22509225092250923</v>
      </c>
      <c r="D59" s="171">
        <f t="shared" ref="D59:E59" si="73">D50/D$53</f>
        <v>0.23473282442748092</v>
      </c>
      <c r="E59" s="172">
        <f t="shared" si="73"/>
        <v>0.24953095684803001</v>
      </c>
      <c r="F59" s="170">
        <f t="shared" ref="F59:G59" si="74">F50/F$53</f>
        <v>0.24868651488616461</v>
      </c>
      <c r="G59" s="171">
        <f t="shared" si="74"/>
        <v>0.22535211267605634</v>
      </c>
      <c r="H59" s="172">
        <f t="shared" ref="H59" si="75">H50/H$53</f>
        <v>0.24105754276827371</v>
      </c>
      <c r="I59" s="170">
        <f t="shared" si="57"/>
        <v>0.2542134831460674</v>
      </c>
      <c r="J59" s="171">
        <f t="shared" si="57"/>
        <v>0.30414012738853502</v>
      </c>
      <c r="K59" s="364">
        <f t="shared" si="57"/>
        <v>0.23388116308470291</v>
      </c>
      <c r="L59" s="364">
        <f t="shared" si="57"/>
        <v>0.2369186046511628</v>
      </c>
      <c r="M59" s="364">
        <f t="shared" ref="M59" si="76">M50/M$53</f>
        <v>0.22950819672131148</v>
      </c>
      <c r="N59" s="371">
        <f t="shared" si="64"/>
        <v>0.24070051588379038</v>
      </c>
    </row>
    <row r="60" spans="1:14" x14ac:dyDescent="0.2">
      <c r="A60" s="103" t="s">
        <v>30</v>
      </c>
      <c r="B60" s="172"/>
      <c r="C60" s="170"/>
      <c r="D60" s="171"/>
      <c r="E60" s="172"/>
      <c r="F60" s="170"/>
      <c r="G60" s="171"/>
      <c r="H60" s="364"/>
      <c r="I60" s="366"/>
      <c r="J60" s="367"/>
      <c r="K60" s="172"/>
      <c r="L60" s="170"/>
      <c r="M60" s="171"/>
      <c r="N60" s="369"/>
    </row>
    <row r="61" spans="1:14" x14ac:dyDescent="0.2">
      <c r="A61" s="107" t="s">
        <v>31</v>
      </c>
      <c r="B61" s="160"/>
      <c r="C61" s="158"/>
      <c r="D61" s="159"/>
      <c r="E61" s="160"/>
      <c r="F61" s="158"/>
      <c r="G61" s="159"/>
      <c r="H61" s="233"/>
      <c r="I61" s="234"/>
      <c r="J61" s="235"/>
      <c r="K61" s="160"/>
      <c r="L61" s="158"/>
      <c r="M61" s="159"/>
      <c r="N61" s="370"/>
    </row>
    <row r="62" spans="1:14" x14ac:dyDescent="0.2">
      <c r="A62" s="96"/>
      <c r="B62" s="352"/>
      <c r="C62" s="353"/>
      <c r="D62" s="165"/>
      <c r="E62" s="163"/>
      <c r="F62" s="164"/>
      <c r="G62" s="165"/>
      <c r="H62" s="401"/>
      <c r="I62" s="402"/>
      <c r="J62" s="403"/>
      <c r="K62" s="163"/>
      <c r="L62" s="164"/>
      <c r="M62" s="165"/>
      <c r="N62" s="337"/>
    </row>
    <row r="63" spans="1:14" x14ac:dyDescent="0.2">
      <c r="A63" s="268" t="s">
        <v>40</v>
      </c>
      <c r="B63" s="341">
        <v>45658</v>
      </c>
      <c r="C63" s="342">
        <v>45689</v>
      </c>
      <c r="D63" s="343">
        <v>45717</v>
      </c>
      <c r="E63" s="341">
        <v>45748</v>
      </c>
      <c r="F63" s="342">
        <v>45778</v>
      </c>
      <c r="G63" s="343">
        <v>45809</v>
      </c>
      <c r="H63" s="341">
        <v>45839</v>
      </c>
      <c r="I63" s="342">
        <v>45870</v>
      </c>
      <c r="J63" s="343">
        <v>45901</v>
      </c>
      <c r="K63" s="341">
        <v>45931</v>
      </c>
      <c r="L63" s="342">
        <v>45962</v>
      </c>
      <c r="M63" s="343">
        <v>45992</v>
      </c>
      <c r="N63" s="199" t="s">
        <v>7</v>
      </c>
    </row>
    <row r="64" spans="1:14" x14ac:dyDescent="0.2">
      <c r="A64" s="105" t="s">
        <v>41</v>
      </c>
      <c r="B64" s="347">
        <v>77</v>
      </c>
      <c r="C64" s="348">
        <v>58</v>
      </c>
      <c r="D64" s="349">
        <v>58</v>
      </c>
      <c r="E64" s="347">
        <v>54</v>
      </c>
      <c r="F64" s="348">
        <v>62</v>
      </c>
      <c r="G64" s="349">
        <v>64</v>
      </c>
      <c r="H64" s="347">
        <v>78</v>
      </c>
      <c r="I64" s="348">
        <v>81</v>
      </c>
      <c r="J64" s="349">
        <v>70</v>
      </c>
      <c r="K64" s="347">
        <f>31+64</f>
        <v>95</v>
      </c>
      <c r="L64" s="348">
        <v>73</v>
      </c>
      <c r="M64" s="349">
        <v>58</v>
      </c>
      <c r="N64" s="209">
        <f t="shared" ref="N64:N70" si="77">SUM(B64:M64)</f>
        <v>828</v>
      </c>
    </row>
    <row r="65" spans="1:14" x14ac:dyDescent="0.2">
      <c r="A65" s="103" t="s">
        <v>42</v>
      </c>
      <c r="B65" s="146">
        <v>67</v>
      </c>
      <c r="C65" s="109">
        <v>74</v>
      </c>
      <c r="D65" s="147">
        <v>85</v>
      </c>
      <c r="E65" s="146">
        <v>72</v>
      </c>
      <c r="F65" s="109">
        <v>66</v>
      </c>
      <c r="G65" s="147">
        <v>72</v>
      </c>
      <c r="H65" s="146">
        <v>74</v>
      </c>
      <c r="I65" s="109">
        <v>89</v>
      </c>
      <c r="J65" s="147">
        <v>88</v>
      </c>
      <c r="K65" s="146">
        <f>30+72</f>
        <v>102</v>
      </c>
      <c r="L65" s="109">
        <v>82</v>
      </c>
      <c r="M65" s="147">
        <v>82</v>
      </c>
      <c r="N65" s="214">
        <f t="shared" si="77"/>
        <v>953</v>
      </c>
    </row>
    <row r="66" spans="1:14" x14ac:dyDescent="0.2">
      <c r="A66" s="103" t="s">
        <v>43</v>
      </c>
      <c r="B66" s="146">
        <v>61</v>
      </c>
      <c r="C66" s="109">
        <v>64</v>
      </c>
      <c r="D66" s="147">
        <v>60</v>
      </c>
      <c r="E66" s="146">
        <v>79</v>
      </c>
      <c r="F66" s="109">
        <v>66</v>
      </c>
      <c r="G66" s="147">
        <v>56</v>
      </c>
      <c r="H66" s="146">
        <v>50</v>
      </c>
      <c r="I66" s="109">
        <v>61</v>
      </c>
      <c r="J66" s="147">
        <v>47</v>
      </c>
      <c r="K66" s="146">
        <f>22+74</f>
        <v>96</v>
      </c>
      <c r="L66" s="109">
        <v>99</v>
      </c>
      <c r="M66" s="147">
        <v>70</v>
      </c>
      <c r="N66" s="214">
        <f t="shared" si="77"/>
        <v>809</v>
      </c>
    </row>
    <row r="67" spans="1:14" x14ac:dyDescent="0.2">
      <c r="A67" s="103" t="s">
        <v>44</v>
      </c>
      <c r="B67" s="146">
        <v>100</v>
      </c>
      <c r="C67" s="109">
        <v>115</v>
      </c>
      <c r="D67" s="147">
        <v>93</v>
      </c>
      <c r="E67" s="146">
        <v>114</v>
      </c>
      <c r="F67" s="109">
        <v>118</v>
      </c>
      <c r="G67" s="147">
        <v>113</v>
      </c>
      <c r="H67" s="146">
        <v>136</v>
      </c>
      <c r="I67" s="109">
        <v>123</v>
      </c>
      <c r="J67" s="147">
        <v>120</v>
      </c>
      <c r="K67" s="146">
        <f>37+121</f>
        <v>158</v>
      </c>
      <c r="L67" s="109">
        <v>100</v>
      </c>
      <c r="M67" s="147">
        <v>116</v>
      </c>
      <c r="N67" s="214">
        <f t="shared" si="77"/>
        <v>1406</v>
      </c>
    </row>
    <row r="68" spans="1:14" x14ac:dyDescent="0.2">
      <c r="A68" s="103" t="s">
        <v>45</v>
      </c>
      <c r="B68" s="146">
        <v>59</v>
      </c>
      <c r="C68" s="109">
        <v>45</v>
      </c>
      <c r="D68" s="147">
        <v>78</v>
      </c>
      <c r="E68" s="146">
        <v>70</v>
      </c>
      <c r="F68" s="109">
        <v>89</v>
      </c>
      <c r="G68" s="147">
        <v>83</v>
      </c>
      <c r="H68" s="146">
        <v>106</v>
      </c>
      <c r="I68" s="109">
        <v>108</v>
      </c>
      <c r="J68" s="147">
        <v>73</v>
      </c>
      <c r="K68" s="146">
        <f>19+73</f>
        <v>92</v>
      </c>
      <c r="L68" s="109">
        <v>116</v>
      </c>
      <c r="M68" s="147">
        <v>72</v>
      </c>
      <c r="N68" s="214">
        <f t="shared" si="77"/>
        <v>991</v>
      </c>
    </row>
    <row r="69" spans="1:14" x14ac:dyDescent="0.2">
      <c r="A69" s="103" t="s">
        <v>46</v>
      </c>
      <c r="B69" s="146">
        <v>189</v>
      </c>
      <c r="C69" s="109">
        <v>185</v>
      </c>
      <c r="D69" s="147">
        <v>147</v>
      </c>
      <c r="E69" s="146">
        <v>143</v>
      </c>
      <c r="F69" s="109">
        <v>169</v>
      </c>
      <c r="G69" s="147">
        <v>175</v>
      </c>
      <c r="H69" s="146">
        <v>197</v>
      </c>
      <c r="I69" s="109">
        <v>246</v>
      </c>
      <c r="J69" s="147">
        <v>223</v>
      </c>
      <c r="K69" s="146">
        <f>78+169</f>
        <v>247</v>
      </c>
      <c r="L69" s="109">
        <v>216</v>
      </c>
      <c r="M69" s="147">
        <v>208</v>
      </c>
      <c r="N69" s="214">
        <f t="shared" si="77"/>
        <v>2345</v>
      </c>
    </row>
    <row r="70" spans="1:14" x14ac:dyDescent="0.2">
      <c r="A70" s="103" t="s">
        <v>47</v>
      </c>
      <c r="B70" s="146">
        <v>3</v>
      </c>
      <c r="C70" s="109">
        <v>1</v>
      </c>
      <c r="D70" s="147">
        <v>3</v>
      </c>
      <c r="E70" s="146">
        <v>1</v>
      </c>
      <c r="F70" s="109">
        <v>1</v>
      </c>
      <c r="G70" s="147">
        <v>5</v>
      </c>
      <c r="H70" s="146">
        <v>2</v>
      </c>
      <c r="I70" s="109">
        <v>4</v>
      </c>
      <c r="J70" s="147">
        <v>7</v>
      </c>
      <c r="K70" s="146">
        <v>1</v>
      </c>
      <c r="L70" s="109">
        <v>2</v>
      </c>
      <c r="M70" s="147">
        <v>4</v>
      </c>
      <c r="N70" s="214">
        <f t="shared" si="77"/>
        <v>34</v>
      </c>
    </row>
    <row r="71" spans="1:14" x14ac:dyDescent="0.2">
      <c r="A71" s="106" t="s">
        <v>31</v>
      </c>
      <c r="B71" s="155"/>
      <c r="C71" s="156"/>
      <c r="D71" s="157"/>
      <c r="E71" s="155"/>
      <c r="F71" s="156"/>
      <c r="G71" s="157"/>
      <c r="H71" s="177"/>
      <c r="I71" s="175"/>
      <c r="J71" s="176"/>
      <c r="K71" s="155"/>
      <c r="L71" s="156"/>
      <c r="M71" s="157"/>
      <c r="N71" s="355"/>
    </row>
    <row r="72" spans="1:14" x14ac:dyDescent="0.2">
      <c r="A72" s="95" t="s">
        <v>24</v>
      </c>
      <c r="B72" s="401">
        <f t="shared" ref="B72:H72" si="78">SUM(B64:B71)</f>
        <v>556</v>
      </c>
      <c r="C72" s="402">
        <f t="shared" si="78"/>
        <v>542</v>
      </c>
      <c r="D72" s="403">
        <f t="shared" si="78"/>
        <v>524</v>
      </c>
      <c r="E72" s="401">
        <f t="shared" si="78"/>
        <v>533</v>
      </c>
      <c r="F72" s="402">
        <f t="shared" si="78"/>
        <v>571</v>
      </c>
      <c r="G72" s="403">
        <f t="shared" si="78"/>
        <v>568</v>
      </c>
      <c r="H72" s="401">
        <f t="shared" si="78"/>
        <v>643</v>
      </c>
      <c r="I72" s="402">
        <f>SUM(I64:I71)</f>
        <v>712</v>
      </c>
      <c r="J72" s="403">
        <f>SUM(J64:J71)</f>
        <v>628</v>
      </c>
      <c r="K72" s="401">
        <f>SUM(K64:K71)</f>
        <v>791</v>
      </c>
      <c r="L72" s="401">
        <f t="shared" ref="L72:M72" si="79">SUM(L64:L71)</f>
        <v>688</v>
      </c>
      <c r="M72" s="401">
        <f t="shared" si="79"/>
        <v>610</v>
      </c>
      <c r="N72" s="368">
        <f t="shared" ref="N72" si="80">SUM(B72:M72)</f>
        <v>7366</v>
      </c>
    </row>
    <row r="73" spans="1:14" x14ac:dyDescent="0.2">
      <c r="A73" s="99" t="s">
        <v>17</v>
      </c>
      <c r="B73" s="341">
        <v>45658</v>
      </c>
      <c r="C73" s="342">
        <v>45689</v>
      </c>
      <c r="D73" s="343">
        <v>45717</v>
      </c>
      <c r="E73" s="341">
        <v>45748</v>
      </c>
      <c r="F73" s="342">
        <v>45778</v>
      </c>
      <c r="G73" s="343">
        <v>45809</v>
      </c>
      <c r="H73" s="341">
        <v>45839</v>
      </c>
      <c r="I73" s="342">
        <v>45870</v>
      </c>
      <c r="J73" s="343">
        <v>45901</v>
      </c>
      <c r="K73" s="341">
        <v>45931</v>
      </c>
      <c r="L73" s="342">
        <v>45962</v>
      </c>
      <c r="M73" s="343">
        <v>45992</v>
      </c>
      <c r="N73" s="199"/>
    </row>
    <row r="74" spans="1:14" x14ac:dyDescent="0.2">
      <c r="A74" s="105" t="s">
        <v>41</v>
      </c>
      <c r="B74" s="360">
        <f t="shared" ref="B74:G74" si="81">B64/B$72</f>
        <v>0.13848920863309352</v>
      </c>
      <c r="C74" s="361">
        <f t="shared" si="81"/>
        <v>0.1070110701107011</v>
      </c>
      <c r="D74" s="362">
        <f t="shared" si="81"/>
        <v>0.11068702290076336</v>
      </c>
      <c r="E74" s="360">
        <f t="shared" si="81"/>
        <v>0.10131332082551595</v>
      </c>
      <c r="F74" s="361">
        <f t="shared" si="81"/>
        <v>0.10858143607705779</v>
      </c>
      <c r="G74" s="362">
        <f t="shared" si="81"/>
        <v>0.11267605633802817</v>
      </c>
      <c r="H74" s="360">
        <f t="shared" ref="H74" si="82">H64/H$72</f>
        <v>0.12130637636080871</v>
      </c>
      <c r="I74" s="361">
        <f t="shared" ref="I74:J80" si="83">I64/I$72</f>
        <v>0.11376404494382023</v>
      </c>
      <c r="J74" s="362">
        <f t="shared" si="83"/>
        <v>0.11146496815286625</v>
      </c>
      <c r="K74" s="363">
        <f t="shared" ref="K74:L74" si="84">K64/K$72</f>
        <v>0.12010113780025285</v>
      </c>
      <c r="L74" s="363">
        <f t="shared" si="84"/>
        <v>0.10610465116279069</v>
      </c>
      <c r="M74" s="363">
        <f t="shared" ref="M74" si="85">M64/M$72</f>
        <v>9.5081967213114751E-2</v>
      </c>
      <c r="N74" s="371">
        <f>N64/$N$72</f>
        <v>0.11240836274775998</v>
      </c>
    </row>
    <row r="75" spans="1:14" x14ac:dyDescent="0.2">
      <c r="A75" s="103" t="s">
        <v>42</v>
      </c>
      <c r="B75" s="172">
        <f t="shared" ref="B75:B80" si="86">B65/B$72</f>
        <v>0.12050359712230216</v>
      </c>
      <c r="C75" s="170">
        <f t="shared" ref="C75:D75" si="87">C65/C$72</f>
        <v>0.13653136531365315</v>
      </c>
      <c r="D75" s="171">
        <f t="shared" si="87"/>
        <v>0.16221374045801526</v>
      </c>
      <c r="E75" s="172">
        <f t="shared" ref="E75:F75" si="88">E65/E$72</f>
        <v>0.1350844277673546</v>
      </c>
      <c r="F75" s="170">
        <f t="shared" si="88"/>
        <v>0.11558669001751314</v>
      </c>
      <c r="G75" s="171">
        <f t="shared" ref="G75:H75" si="89">G65/G$72</f>
        <v>0.12676056338028169</v>
      </c>
      <c r="H75" s="172">
        <f t="shared" si="89"/>
        <v>0.11508553654743391</v>
      </c>
      <c r="I75" s="170">
        <f t="shared" si="83"/>
        <v>0.125</v>
      </c>
      <c r="J75" s="171">
        <f t="shared" si="83"/>
        <v>0.14012738853503184</v>
      </c>
      <c r="K75" s="364">
        <f t="shared" ref="K75:L75" si="90">K65/K$72</f>
        <v>0.12895069532237674</v>
      </c>
      <c r="L75" s="364">
        <f t="shared" si="90"/>
        <v>0.11918604651162791</v>
      </c>
      <c r="M75" s="364">
        <f t="shared" ref="M75" si="91">M65/M$72</f>
        <v>0.13442622950819672</v>
      </c>
      <c r="N75" s="371">
        <f t="shared" ref="N75:N79" si="92">N65/$N$72</f>
        <v>0.12937822427368992</v>
      </c>
    </row>
    <row r="76" spans="1:14" x14ac:dyDescent="0.2">
      <c r="A76" s="103" t="s">
        <v>43</v>
      </c>
      <c r="B76" s="172">
        <f t="shared" si="86"/>
        <v>0.10971223021582734</v>
      </c>
      <c r="C76" s="170">
        <f t="shared" ref="C76:D76" si="93">C66/C$72</f>
        <v>0.11808118081180811</v>
      </c>
      <c r="D76" s="171">
        <f t="shared" si="93"/>
        <v>0.11450381679389313</v>
      </c>
      <c r="E76" s="172">
        <f t="shared" ref="E76:F76" si="94">E66/E$72</f>
        <v>0.14821763602251406</v>
      </c>
      <c r="F76" s="170">
        <f t="shared" si="94"/>
        <v>0.11558669001751314</v>
      </c>
      <c r="G76" s="171">
        <f t="shared" ref="G76:H76" si="95">G66/G$72</f>
        <v>9.8591549295774641E-2</v>
      </c>
      <c r="H76" s="172">
        <f t="shared" si="95"/>
        <v>7.7760497667185069E-2</v>
      </c>
      <c r="I76" s="170">
        <f t="shared" si="83"/>
        <v>8.5674157303370788E-2</v>
      </c>
      <c r="J76" s="171">
        <f t="shared" si="83"/>
        <v>7.4840764331210188E-2</v>
      </c>
      <c r="K76" s="364">
        <f t="shared" ref="K76:L76" si="96">K66/K$72</f>
        <v>0.1213653603034134</v>
      </c>
      <c r="L76" s="364">
        <f t="shared" si="96"/>
        <v>0.14389534883720931</v>
      </c>
      <c r="M76" s="364">
        <f t="shared" ref="M76" si="97">M66/M$72</f>
        <v>0.11475409836065574</v>
      </c>
      <c r="N76" s="371">
        <f t="shared" si="92"/>
        <v>0.10982894379581863</v>
      </c>
    </row>
    <row r="77" spans="1:14" x14ac:dyDescent="0.2">
      <c r="A77" s="103" t="s">
        <v>44</v>
      </c>
      <c r="B77" s="172">
        <f t="shared" si="86"/>
        <v>0.17985611510791366</v>
      </c>
      <c r="C77" s="170">
        <f t="shared" ref="C77:D77" si="98">C67/C$72</f>
        <v>0.21217712177121772</v>
      </c>
      <c r="D77" s="171">
        <f t="shared" si="98"/>
        <v>0.17748091603053434</v>
      </c>
      <c r="E77" s="172">
        <f t="shared" ref="E77:F77" si="99">E67/E$72</f>
        <v>0.21388367729831145</v>
      </c>
      <c r="F77" s="170">
        <f t="shared" si="99"/>
        <v>0.20665499124343256</v>
      </c>
      <c r="G77" s="171">
        <f t="shared" ref="G77:H77" si="100">G67/G$72</f>
        <v>0.198943661971831</v>
      </c>
      <c r="H77" s="172">
        <f t="shared" si="100"/>
        <v>0.21150855365474339</v>
      </c>
      <c r="I77" s="170">
        <f t="shared" si="83"/>
        <v>0.17275280898876405</v>
      </c>
      <c r="J77" s="171">
        <f t="shared" si="83"/>
        <v>0.19108280254777071</v>
      </c>
      <c r="K77" s="364">
        <f t="shared" ref="K77:L77" si="101">K67/K$72</f>
        <v>0.19974715549936789</v>
      </c>
      <c r="L77" s="364">
        <f t="shared" si="101"/>
        <v>0.14534883720930233</v>
      </c>
      <c r="M77" s="364">
        <f t="shared" ref="M77" si="102">M67/M$72</f>
        <v>0.1901639344262295</v>
      </c>
      <c r="N77" s="371">
        <f t="shared" si="92"/>
        <v>0.19087700244366007</v>
      </c>
    </row>
    <row r="78" spans="1:14" x14ac:dyDescent="0.2">
      <c r="A78" s="103" t="s">
        <v>45</v>
      </c>
      <c r="B78" s="172">
        <f t="shared" si="86"/>
        <v>0.10611510791366907</v>
      </c>
      <c r="C78" s="170">
        <f t="shared" ref="C78:D78" si="103">C68/C$72</f>
        <v>8.3025830258302583E-2</v>
      </c>
      <c r="D78" s="171">
        <f t="shared" si="103"/>
        <v>0.14885496183206107</v>
      </c>
      <c r="E78" s="172">
        <f t="shared" ref="E78:F78" si="104">E68/E$72</f>
        <v>0.13133208255159476</v>
      </c>
      <c r="F78" s="170">
        <f t="shared" si="104"/>
        <v>0.15586690017513136</v>
      </c>
      <c r="G78" s="171">
        <f t="shared" ref="G78:H78" si="105">G68/G$72</f>
        <v>0.14612676056338028</v>
      </c>
      <c r="H78" s="172">
        <f t="shared" si="105"/>
        <v>0.16485225505443235</v>
      </c>
      <c r="I78" s="170">
        <f t="shared" si="83"/>
        <v>0.15168539325842698</v>
      </c>
      <c r="J78" s="171">
        <f t="shared" si="83"/>
        <v>0.11624203821656051</v>
      </c>
      <c r="K78" s="364">
        <f t="shared" ref="K78:L78" si="106">K68/K$72</f>
        <v>0.11630847029077118</v>
      </c>
      <c r="L78" s="364">
        <f t="shared" si="106"/>
        <v>0.16860465116279069</v>
      </c>
      <c r="M78" s="364">
        <f t="shared" ref="M78" si="107">M68/M$72</f>
        <v>0.11803278688524591</v>
      </c>
      <c r="N78" s="371">
        <f t="shared" si="92"/>
        <v>0.13453706217757264</v>
      </c>
    </row>
    <row r="79" spans="1:14" x14ac:dyDescent="0.2">
      <c r="A79" s="103" t="s">
        <v>46</v>
      </c>
      <c r="B79" s="172">
        <f t="shared" si="86"/>
        <v>0.33992805755395683</v>
      </c>
      <c r="C79" s="170">
        <f t="shared" ref="C79:D79" si="108">C69/C$72</f>
        <v>0.34132841328413283</v>
      </c>
      <c r="D79" s="171">
        <f t="shared" si="108"/>
        <v>0.28053435114503816</v>
      </c>
      <c r="E79" s="172">
        <f t="shared" ref="E79:F79" si="109">E69/E$72</f>
        <v>0.26829268292682928</v>
      </c>
      <c r="F79" s="170">
        <f t="shared" si="109"/>
        <v>0.29597197898423816</v>
      </c>
      <c r="G79" s="171">
        <f t="shared" ref="G79:H79" si="110">G69/G$72</f>
        <v>0.30809859154929575</v>
      </c>
      <c r="H79" s="172">
        <f t="shared" si="110"/>
        <v>0.30637636080870917</v>
      </c>
      <c r="I79" s="170">
        <f t="shared" si="83"/>
        <v>0.3455056179775281</v>
      </c>
      <c r="J79" s="171">
        <f t="shared" si="83"/>
        <v>0.35509554140127386</v>
      </c>
      <c r="K79" s="364">
        <f t="shared" ref="K79:L79" si="111">K69/K$72</f>
        <v>0.31226295828065742</v>
      </c>
      <c r="L79" s="364">
        <f t="shared" si="111"/>
        <v>0.31395348837209303</v>
      </c>
      <c r="M79" s="364">
        <f t="shared" ref="M79" si="112">M69/M$72</f>
        <v>0.34098360655737703</v>
      </c>
      <c r="N79" s="371">
        <f t="shared" si="92"/>
        <v>0.31835460222644585</v>
      </c>
    </row>
    <row r="80" spans="1:14" x14ac:dyDescent="0.2">
      <c r="A80" s="103" t="s">
        <v>47</v>
      </c>
      <c r="B80" s="172">
        <f t="shared" si="86"/>
        <v>5.3956834532374104E-3</v>
      </c>
      <c r="C80" s="170">
        <f t="shared" ref="C80:D80" si="113">C70/C$72</f>
        <v>1.8450184501845018E-3</v>
      </c>
      <c r="D80" s="171">
        <f t="shared" si="113"/>
        <v>5.7251908396946565E-3</v>
      </c>
      <c r="E80" s="172">
        <f t="shared" ref="E80:F80" si="114">E70/E$72</f>
        <v>1.876172607879925E-3</v>
      </c>
      <c r="F80" s="170">
        <f t="shared" si="114"/>
        <v>1.7513134851138354E-3</v>
      </c>
      <c r="G80" s="171">
        <f t="shared" ref="G80:H80" si="115">G70/G$72</f>
        <v>8.8028169014084511E-3</v>
      </c>
      <c r="H80" s="172">
        <f t="shared" si="115"/>
        <v>3.1104199066874028E-3</v>
      </c>
      <c r="I80" s="170">
        <f t="shared" si="83"/>
        <v>5.6179775280898875E-3</v>
      </c>
      <c r="J80" s="171">
        <f t="shared" si="83"/>
        <v>1.1146496815286623E-2</v>
      </c>
      <c r="K80" s="364">
        <f t="shared" ref="K80:L80" si="116">K70/K$72</f>
        <v>1.2642225031605564E-3</v>
      </c>
      <c r="L80" s="364">
        <f t="shared" si="116"/>
        <v>2.9069767441860465E-3</v>
      </c>
      <c r="M80" s="364">
        <f t="shared" ref="M80" si="117">M70/M$72</f>
        <v>6.5573770491803279E-3</v>
      </c>
      <c r="N80" s="371">
        <f>N70/$N$72</f>
        <v>4.6158023350529459E-3</v>
      </c>
    </row>
    <row r="81" spans="1:14" x14ac:dyDescent="0.2">
      <c r="A81" s="107" t="s">
        <v>31</v>
      </c>
      <c r="B81" s="160"/>
      <c r="C81" s="158"/>
      <c r="D81" s="159"/>
      <c r="E81" s="160"/>
      <c r="F81" s="158"/>
      <c r="G81" s="159"/>
      <c r="H81" s="233"/>
      <c r="I81" s="234"/>
      <c r="J81" s="235"/>
      <c r="K81" s="155"/>
      <c r="L81" s="156"/>
      <c r="M81" s="157"/>
      <c r="N81" s="215"/>
    </row>
    <row r="82" spans="1:14" x14ac:dyDescent="0.2">
      <c r="A82" s="105"/>
      <c r="B82" s="229"/>
      <c r="C82" s="144"/>
      <c r="D82" s="230"/>
      <c r="E82" s="229"/>
      <c r="F82" s="144"/>
      <c r="G82" s="230"/>
      <c r="H82" s="181"/>
      <c r="I82" s="182"/>
      <c r="J82" s="183"/>
      <c r="K82" s="141"/>
      <c r="L82" s="142"/>
      <c r="M82" s="143"/>
      <c r="N82" s="209"/>
    </row>
    <row r="83" spans="1:14" x14ac:dyDescent="0.2">
      <c r="A83" s="106"/>
      <c r="B83" s="129"/>
      <c r="C83" s="130"/>
      <c r="D83" s="131"/>
      <c r="E83" s="129"/>
      <c r="F83" s="130"/>
      <c r="G83" s="131"/>
      <c r="H83" s="258"/>
      <c r="I83" s="259"/>
      <c r="J83" s="260"/>
      <c r="K83" s="129"/>
      <c r="L83" s="130"/>
      <c r="M83" s="131"/>
      <c r="N83" s="355"/>
    </row>
    <row r="84" spans="1:14" x14ac:dyDescent="0.2">
      <c r="A84" s="101" t="s">
        <v>48</v>
      </c>
      <c r="B84" s="190"/>
      <c r="C84" s="191"/>
      <c r="D84" s="192"/>
      <c r="E84" s="190"/>
      <c r="F84" s="191"/>
      <c r="G84" s="192"/>
      <c r="H84" s="398"/>
      <c r="I84" s="399"/>
      <c r="J84" s="400"/>
      <c r="K84" s="190"/>
      <c r="L84" s="191"/>
      <c r="M84" s="192"/>
      <c r="N84" s="372"/>
    </row>
    <row r="85" spans="1:14" x14ac:dyDescent="0.2">
      <c r="A85" s="99" t="s">
        <v>49</v>
      </c>
      <c r="B85" s="341">
        <v>45658</v>
      </c>
      <c r="C85" s="342">
        <v>45689</v>
      </c>
      <c r="D85" s="343">
        <v>45717</v>
      </c>
      <c r="E85" s="341">
        <v>45748</v>
      </c>
      <c r="F85" s="342">
        <v>45778</v>
      </c>
      <c r="G85" s="343">
        <v>45809</v>
      </c>
      <c r="H85" s="341">
        <v>45839</v>
      </c>
      <c r="I85" s="342">
        <v>45870</v>
      </c>
      <c r="J85" s="343">
        <v>45901</v>
      </c>
      <c r="K85" s="341">
        <v>45931</v>
      </c>
      <c r="L85" s="342">
        <v>45962</v>
      </c>
      <c r="M85" s="343">
        <v>45992</v>
      </c>
      <c r="N85" s="199" t="s">
        <v>7</v>
      </c>
    </row>
    <row r="86" spans="1:14" x14ac:dyDescent="0.2">
      <c r="A86" s="105" t="s">
        <v>50</v>
      </c>
      <c r="B86" s="347">
        <v>307</v>
      </c>
      <c r="C86" s="348">
        <v>267</v>
      </c>
      <c r="D86" s="349">
        <v>291</v>
      </c>
      <c r="E86" s="347">
        <v>292</v>
      </c>
      <c r="F86" s="348">
        <v>298</v>
      </c>
      <c r="G86" s="349">
        <v>279</v>
      </c>
      <c r="H86" s="347">
        <v>302</v>
      </c>
      <c r="I86" s="348">
        <v>396</v>
      </c>
      <c r="J86" s="349">
        <v>353</v>
      </c>
      <c r="K86" s="347">
        <f>113+327</f>
        <v>440</v>
      </c>
      <c r="L86" s="348">
        <v>411</v>
      </c>
      <c r="M86" s="349">
        <v>340</v>
      </c>
      <c r="N86" s="209">
        <f>SUM(B86:M86)</f>
        <v>3976</v>
      </c>
    </row>
    <row r="87" spans="1:14" x14ac:dyDescent="0.2">
      <c r="A87" s="103" t="s">
        <v>51</v>
      </c>
      <c r="B87" s="146">
        <v>83</v>
      </c>
      <c r="C87" s="109">
        <v>102</v>
      </c>
      <c r="D87" s="147">
        <v>89</v>
      </c>
      <c r="E87" s="146">
        <v>90</v>
      </c>
      <c r="F87" s="109">
        <v>111</v>
      </c>
      <c r="G87" s="147">
        <v>119</v>
      </c>
      <c r="H87" s="146">
        <v>143</v>
      </c>
      <c r="I87" s="109">
        <v>123</v>
      </c>
      <c r="J87" s="147">
        <v>106</v>
      </c>
      <c r="K87" s="146">
        <f>36+104</f>
        <v>140</v>
      </c>
      <c r="L87" s="109">
        <v>114</v>
      </c>
      <c r="M87" s="147">
        <v>109</v>
      </c>
      <c r="N87" s="209">
        <f t="shared" ref="N87:N93" si="118">SUM(B87:M87)</f>
        <v>1329</v>
      </c>
    </row>
    <row r="88" spans="1:14" x14ac:dyDescent="0.2">
      <c r="A88" s="103" t="s">
        <v>52</v>
      </c>
      <c r="B88" s="146">
        <v>57</v>
      </c>
      <c r="C88" s="109">
        <v>56</v>
      </c>
      <c r="D88" s="147">
        <v>34</v>
      </c>
      <c r="E88" s="146">
        <v>57</v>
      </c>
      <c r="F88" s="109">
        <v>43</v>
      </c>
      <c r="G88" s="147">
        <v>45</v>
      </c>
      <c r="H88" s="146">
        <v>70</v>
      </c>
      <c r="I88" s="109">
        <v>46</v>
      </c>
      <c r="J88" s="147">
        <v>39</v>
      </c>
      <c r="K88" s="146">
        <f>22+40</f>
        <v>62</v>
      </c>
      <c r="L88" s="109">
        <v>51</v>
      </c>
      <c r="M88" s="147">
        <v>53</v>
      </c>
      <c r="N88" s="209">
        <f t="shared" si="118"/>
        <v>613</v>
      </c>
    </row>
    <row r="89" spans="1:14" x14ac:dyDescent="0.2">
      <c r="A89" s="103" t="s">
        <v>53</v>
      </c>
      <c r="B89" s="146">
        <v>8</v>
      </c>
      <c r="C89" s="109">
        <v>10</v>
      </c>
      <c r="D89" s="147">
        <v>14</v>
      </c>
      <c r="E89" s="146">
        <v>7</v>
      </c>
      <c r="F89" s="109">
        <v>8</v>
      </c>
      <c r="G89" s="147">
        <v>15</v>
      </c>
      <c r="H89" s="146">
        <v>13</v>
      </c>
      <c r="I89" s="109">
        <v>17</v>
      </c>
      <c r="J89" s="147">
        <v>17</v>
      </c>
      <c r="K89" s="146">
        <f>4+10</f>
        <v>14</v>
      </c>
      <c r="L89" s="109">
        <v>13</v>
      </c>
      <c r="M89" s="147">
        <v>11</v>
      </c>
      <c r="N89" s="209">
        <f t="shared" si="118"/>
        <v>147</v>
      </c>
    </row>
    <row r="90" spans="1:14" x14ac:dyDescent="0.2">
      <c r="A90" s="103" t="s">
        <v>54</v>
      </c>
      <c r="B90" s="146">
        <v>1</v>
      </c>
      <c r="C90" s="109">
        <v>1</v>
      </c>
      <c r="D90" s="147"/>
      <c r="E90" s="146">
        <v>2</v>
      </c>
      <c r="F90" s="109"/>
      <c r="G90" s="147">
        <v>1</v>
      </c>
      <c r="H90" s="146"/>
      <c r="I90" s="109">
        <v>1</v>
      </c>
      <c r="J90" s="147"/>
      <c r="K90" s="146">
        <f>2+1</f>
        <v>3</v>
      </c>
      <c r="L90" s="109">
        <v>1</v>
      </c>
      <c r="M90" s="147">
        <v>4</v>
      </c>
      <c r="N90" s="209">
        <f t="shared" si="118"/>
        <v>14</v>
      </c>
    </row>
    <row r="91" spans="1:14" x14ac:dyDescent="0.2">
      <c r="A91" s="103" t="s">
        <v>30</v>
      </c>
      <c r="B91" s="146">
        <v>1</v>
      </c>
      <c r="C91" s="109"/>
      <c r="D91" s="147">
        <v>3</v>
      </c>
      <c r="E91" s="146">
        <v>3</v>
      </c>
      <c r="F91" s="109">
        <v>3</v>
      </c>
      <c r="G91" s="147">
        <v>4</v>
      </c>
      <c r="H91" s="146">
        <v>2</v>
      </c>
      <c r="I91" s="109">
        <v>15</v>
      </c>
      <c r="J91" s="147">
        <v>2</v>
      </c>
      <c r="K91" s="146">
        <f>3+7</f>
        <v>10</v>
      </c>
      <c r="L91" s="109">
        <v>9</v>
      </c>
      <c r="M91" s="147">
        <v>6</v>
      </c>
      <c r="N91" s="209">
        <f t="shared" si="118"/>
        <v>58</v>
      </c>
    </row>
    <row r="92" spans="1:14" x14ac:dyDescent="0.2">
      <c r="A92" s="103" t="s">
        <v>55</v>
      </c>
      <c r="B92" s="146">
        <v>99</v>
      </c>
      <c r="C92" s="109">
        <v>106</v>
      </c>
      <c r="D92" s="147">
        <v>93</v>
      </c>
      <c r="E92" s="146">
        <v>82</v>
      </c>
      <c r="F92" s="109">
        <v>108</v>
      </c>
      <c r="G92" s="147">
        <v>105</v>
      </c>
      <c r="H92" s="146">
        <v>113</v>
      </c>
      <c r="I92" s="109">
        <v>114</v>
      </c>
      <c r="J92" s="147">
        <v>111</v>
      </c>
      <c r="K92" s="146">
        <f>37+85</f>
        <v>122</v>
      </c>
      <c r="L92" s="109">
        <v>89</v>
      </c>
      <c r="M92" s="147">
        <v>87</v>
      </c>
      <c r="N92" s="209">
        <f t="shared" si="118"/>
        <v>1229</v>
      </c>
    </row>
    <row r="93" spans="1:14" x14ac:dyDescent="0.2">
      <c r="A93" s="106" t="s">
        <v>24</v>
      </c>
      <c r="B93" s="177">
        <f t="shared" ref="B93:H93" si="119">SUM(B86:B92)</f>
        <v>556</v>
      </c>
      <c r="C93" s="175">
        <f t="shared" si="119"/>
        <v>542</v>
      </c>
      <c r="D93" s="176">
        <f t="shared" si="119"/>
        <v>524</v>
      </c>
      <c r="E93" s="177">
        <f t="shared" si="119"/>
        <v>533</v>
      </c>
      <c r="F93" s="175">
        <f t="shared" si="119"/>
        <v>571</v>
      </c>
      <c r="G93" s="176">
        <f t="shared" si="119"/>
        <v>568</v>
      </c>
      <c r="H93" s="177">
        <f t="shared" si="119"/>
        <v>643</v>
      </c>
      <c r="I93" s="175">
        <f>SUM(I86:I92)</f>
        <v>712</v>
      </c>
      <c r="J93" s="176">
        <f>SUM(J86:J92)</f>
        <v>628</v>
      </c>
      <c r="K93" s="177">
        <f>SUM(K86:K92)</f>
        <v>791</v>
      </c>
      <c r="L93" s="177">
        <f>SUM(L86:L92)</f>
        <v>688</v>
      </c>
      <c r="M93" s="177">
        <f>SUM(M86:M92)</f>
        <v>610</v>
      </c>
      <c r="N93" s="208">
        <f t="shared" si="118"/>
        <v>7366</v>
      </c>
    </row>
    <row r="94" spans="1:14" x14ac:dyDescent="0.2">
      <c r="A94" s="99" t="s">
        <v>17</v>
      </c>
      <c r="B94" s="356">
        <v>45658</v>
      </c>
      <c r="C94" s="357">
        <v>45689</v>
      </c>
      <c r="D94" s="358">
        <v>45717</v>
      </c>
      <c r="E94" s="356">
        <v>45748</v>
      </c>
      <c r="F94" s="357">
        <v>45778</v>
      </c>
      <c r="G94" s="358">
        <v>45809</v>
      </c>
      <c r="H94" s="356">
        <v>45839</v>
      </c>
      <c r="I94" s="357">
        <v>45870</v>
      </c>
      <c r="J94" s="358">
        <v>45901</v>
      </c>
      <c r="K94" s="356">
        <v>45931</v>
      </c>
      <c r="L94" s="357">
        <v>45962</v>
      </c>
      <c r="M94" s="358">
        <v>45992</v>
      </c>
      <c r="N94" s="199"/>
    </row>
    <row r="95" spans="1:14" x14ac:dyDescent="0.2">
      <c r="A95" s="105" t="s">
        <v>50</v>
      </c>
      <c r="B95" s="360">
        <f t="shared" ref="B95:G95" si="120">B86/B$93</f>
        <v>0.55215827338129497</v>
      </c>
      <c r="C95" s="361">
        <f t="shared" si="120"/>
        <v>0.49261992619926198</v>
      </c>
      <c r="D95" s="362">
        <f t="shared" si="120"/>
        <v>0.55534351145038163</v>
      </c>
      <c r="E95" s="360">
        <f t="shared" si="120"/>
        <v>0.5478424015009381</v>
      </c>
      <c r="F95" s="361">
        <f t="shared" si="120"/>
        <v>0.52189141856392296</v>
      </c>
      <c r="G95" s="362">
        <f t="shared" si="120"/>
        <v>0.49119718309859156</v>
      </c>
      <c r="H95" s="360">
        <f t="shared" ref="H95" si="121">H86/H$93</f>
        <v>0.46967340590979784</v>
      </c>
      <c r="I95" s="361">
        <f t="shared" ref="I95:J101" si="122">I86/I$93</f>
        <v>0.5561797752808989</v>
      </c>
      <c r="J95" s="362">
        <f t="shared" si="122"/>
        <v>0.56210191082802552</v>
      </c>
      <c r="K95" s="363">
        <f t="shared" ref="K95:L95" si="123">K86/K$93</f>
        <v>0.55625790139064479</v>
      </c>
      <c r="L95" s="363">
        <f t="shared" si="123"/>
        <v>0.59738372093023251</v>
      </c>
      <c r="M95" s="363">
        <f t="shared" ref="M95" si="124">M86/M$93</f>
        <v>0.55737704918032782</v>
      </c>
      <c r="N95" s="384">
        <f>N86/$N$93</f>
        <v>0.53977735541677985</v>
      </c>
    </row>
    <row r="96" spans="1:14" x14ac:dyDescent="0.2">
      <c r="A96" s="103" t="s">
        <v>51</v>
      </c>
      <c r="B96" s="172">
        <f t="shared" ref="B96:C101" si="125">B87/B$93</f>
        <v>0.14928057553956833</v>
      </c>
      <c r="C96" s="170">
        <f t="shared" si="125"/>
        <v>0.18819188191881919</v>
      </c>
      <c r="D96" s="171">
        <f t="shared" ref="D96:E96" si="126">D87/D$93</f>
        <v>0.16984732824427481</v>
      </c>
      <c r="E96" s="172">
        <f t="shared" si="126"/>
        <v>0.16885553470919323</v>
      </c>
      <c r="F96" s="170">
        <f t="shared" ref="F96:G96" si="127">F87/F$93</f>
        <v>0.19439579684763572</v>
      </c>
      <c r="G96" s="171">
        <f t="shared" si="127"/>
        <v>0.20950704225352113</v>
      </c>
      <c r="H96" s="172">
        <f t="shared" ref="H96" si="128">H87/H$93</f>
        <v>0.22239502332814931</v>
      </c>
      <c r="I96" s="170">
        <f t="shared" si="122"/>
        <v>0.17275280898876405</v>
      </c>
      <c r="J96" s="171">
        <f t="shared" si="122"/>
        <v>0.16878980891719744</v>
      </c>
      <c r="K96" s="364">
        <f t="shared" ref="K96:L96" si="129">K87/K$93</f>
        <v>0.17699115044247787</v>
      </c>
      <c r="L96" s="364">
        <f t="shared" si="129"/>
        <v>0.16569767441860464</v>
      </c>
      <c r="M96" s="364">
        <f t="shared" ref="M96" si="130">M87/M$93</f>
        <v>0.17868852459016393</v>
      </c>
      <c r="N96" s="384">
        <f t="shared" ref="N96:N101" si="131">N87/$N$93</f>
        <v>0.1804235677436872</v>
      </c>
    </row>
    <row r="97" spans="1:14" x14ac:dyDescent="0.2">
      <c r="A97" s="103" t="s">
        <v>52</v>
      </c>
      <c r="B97" s="172">
        <f t="shared" si="125"/>
        <v>0.10251798561151079</v>
      </c>
      <c r="C97" s="170">
        <f t="shared" si="125"/>
        <v>0.10332103321033211</v>
      </c>
      <c r="D97" s="171">
        <f t="shared" ref="D97:E97" si="132">D88/D$93</f>
        <v>6.4885496183206104E-2</v>
      </c>
      <c r="E97" s="172">
        <f t="shared" si="132"/>
        <v>0.10694183864915573</v>
      </c>
      <c r="F97" s="170">
        <f t="shared" ref="F97:G97" si="133">F88/F$93</f>
        <v>7.5306479859894915E-2</v>
      </c>
      <c r="G97" s="171">
        <f t="shared" si="133"/>
        <v>7.9225352112676062E-2</v>
      </c>
      <c r="H97" s="172">
        <f t="shared" ref="H97" si="134">H88/H$93</f>
        <v>0.1088646967340591</v>
      </c>
      <c r="I97" s="170">
        <f t="shared" si="122"/>
        <v>6.4606741573033713E-2</v>
      </c>
      <c r="J97" s="171">
        <f t="shared" si="122"/>
        <v>6.2101910828025478E-2</v>
      </c>
      <c r="K97" s="364">
        <f t="shared" ref="K97:L97" si="135">K88/K$93</f>
        <v>7.8381795195954493E-2</v>
      </c>
      <c r="L97" s="364">
        <f t="shared" si="135"/>
        <v>7.4127906976744193E-2</v>
      </c>
      <c r="M97" s="364">
        <f t="shared" ref="M97" si="136">M88/M$93</f>
        <v>8.6885245901639346E-2</v>
      </c>
      <c r="N97" s="384">
        <f t="shared" si="131"/>
        <v>8.3220200923160473E-2</v>
      </c>
    </row>
    <row r="98" spans="1:14" x14ac:dyDescent="0.2">
      <c r="A98" s="103" t="s">
        <v>56</v>
      </c>
      <c r="B98" s="172">
        <f t="shared" si="125"/>
        <v>1.4388489208633094E-2</v>
      </c>
      <c r="C98" s="170">
        <f t="shared" si="125"/>
        <v>1.8450184501845018E-2</v>
      </c>
      <c r="D98" s="171">
        <f t="shared" ref="D98:E98" si="137">D89/D$93</f>
        <v>2.6717557251908396E-2</v>
      </c>
      <c r="E98" s="172">
        <f t="shared" si="137"/>
        <v>1.3133208255159476E-2</v>
      </c>
      <c r="F98" s="170">
        <f t="shared" ref="F98:G98" si="138">F89/F$93</f>
        <v>1.4010507880910683E-2</v>
      </c>
      <c r="G98" s="171">
        <f t="shared" si="138"/>
        <v>2.6408450704225352E-2</v>
      </c>
      <c r="H98" s="172">
        <f t="shared" ref="H98" si="139">H89/H$93</f>
        <v>2.0217729393468119E-2</v>
      </c>
      <c r="I98" s="170">
        <f t="shared" si="122"/>
        <v>2.3876404494382022E-2</v>
      </c>
      <c r="J98" s="171">
        <f t="shared" si="122"/>
        <v>2.7070063694267517E-2</v>
      </c>
      <c r="K98" s="364">
        <f t="shared" ref="K98:L98" si="140">K89/K$93</f>
        <v>1.7699115044247787E-2</v>
      </c>
      <c r="L98" s="364">
        <f t="shared" si="140"/>
        <v>1.8895348837209301E-2</v>
      </c>
      <c r="M98" s="364">
        <f t="shared" ref="M98" si="141">M89/M$93</f>
        <v>1.8032786885245903E-2</v>
      </c>
      <c r="N98" s="384">
        <f t="shared" si="131"/>
        <v>1.9956557154493619E-2</v>
      </c>
    </row>
    <row r="99" spans="1:14" x14ac:dyDescent="0.2">
      <c r="A99" s="103" t="s">
        <v>54</v>
      </c>
      <c r="B99" s="172">
        <f t="shared" si="125"/>
        <v>1.7985611510791368E-3</v>
      </c>
      <c r="C99" s="170">
        <f t="shared" si="125"/>
        <v>1.8450184501845018E-3</v>
      </c>
      <c r="D99" s="171">
        <f t="shared" ref="D99:E99" si="142">D90/D$93</f>
        <v>0</v>
      </c>
      <c r="E99" s="172">
        <f t="shared" si="142"/>
        <v>3.7523452157598499E-3</v>
      </c>
      <c r="F99" s="170">
        <f t="shared" ref="F99:G99" si="143">F90/F$93</f>
        <v>0</v>
      </c>
      <c r="G99" s="171">
        <f t="shared" si="143"/>
        <v>1.7605633802816902E-3</v>
      </c>
      <c r="H99" s="172">
        <f t="shared" ref="H99" si="144">H90/H$93</f>
        <v>0</v>
      </c>
      <c r="I99" s="170">
        <f t="shared" si="122"/>
        <v>1.4044943820224719E-3</v>
      </c>
      <c r="J99" s="171">
        <f t="shared" si="122"/>
        <v>0</v>
      </c>
      <c r="K99" s="364">
        <f t="shared" ref="K99:L99" si="145">K90/K$93</f>
        <v>3.7926675094816687E-3</v>
      </c>
      <c r="L99" s="364">
        <f t="shared" si="145"/>
        <v>1.4534883720930232E-3</v>
      </c>
      <c r="M99" s="364">
        <f t="shared" ref="M99" si="146">M90/M$93</f>
        <v>6.5573770491803279E-3</v>
      </c>
      <c r="N99" s="384">
        <f t="shared" si="131"/>
        <v>1.9006244909041542E-3</v>
      </c>
    </row>
    <row r="100" spans="1:14" x14ac:dyDescent="0.2">
      <c r="A100" s="103" t="s">
        <v>30</v>
      </c>
      <c r="B100" s="172">
        <f t="shared" si="125"/>
        <v>1.7985611510791368E-3</v>
      </c>
      <c r="C100" s="170">
        <f t="shared" si="125"/>
        <v>0</v>
      </c>
      <c r="D100" s="171">
        <f t="shared" ref="D100:E100" si="147">D91/D$93</f>
        <v>5.7251908396946565E-3</v>
      </c>
      <c r="E100" s="172">
        <f t="shared" si="147"/>
        <v>5.6285178236397749E-3</v>
      </c>
      <c r="F100" s="170">
        <f t="shared" ref="F100:G100" si="148">F91/F$93</f>
        <v>5.2539404553415062E-3</v>
      </c>
      <c r="G100" s="171">
        <f t="shared" si="148"/>
        <v>7.0422535211267607E-3</v>
      </c>
      <c r="H100" s="172">
        <f t="shared" ref="H100" si="149">H91/H$93</f>
        <v>3.1104199066874028E-3</v>
      </c>
      <c r="I100" s="170">
        <f t="shared" si="122"/>
        <v>2.1067415730337078E-2</v>
      </c>
      <c r="J100" s="171">
        <f t="shared" si="122"/>
        <v>3.1847133757961785E-3</v>
      </c>
      <c r="K100" s="364">
        <f t="shared" ref="K100:L100" si="150">K91/K$93</f>
        <v>1.2642225031605562E-2</v>
      </c>
      <c r="L100" s="364">
        <f t="shared" si="150"/>
        <v>1.308139534883721E-2</v>
      </c>
      <c r="M100" s="364">
        <f t="shared" ref="M100" si="151">M91/M$93</f>
        <v>9.8360655737704927E-3</v>
      </c>
      <c r="N100" s="384">
        <f t="shared" si="131"/>
        <v>7.874015748031496E-3</v>
      </c>
    </row>
    <row r="101" spans="1:14" x14ac:dyDescent="0.2">
      <c r="A101" s="107" t="s">
        <v>55</v>
      </c>
      <c r="B101" s="160">
        <f t="shared" si="125"/>
        <v>0.17805755395683454</v>
      </c>
      <c r="C101" s="158">
        <f t="shared" si="125"/>
        <v>0.19557195571955718</v>
      </c>
      <c r="D101" s="159">
        <f t="shared" ref="D101:E101" si="152">D92/D$93</f>
        <v>0.17748091603053434</v>
      </c>
      <c r="E101" s="160">
        <f t="shared" si="152"/>
        <v>0.15384615384615385</v>
      </c>
      <c r="F101" s="158">
        <f t="shared" ref="F101:G101" si="153">F92/F$93</f>
        <v>0.18914185639229422</v>
      </c>
      <c r="G101" s="159">
        <f t="shared" si="153"/>
        <v>0.18485915492957747</v>
      </c>
      <c r="H101" s="160">
        <f t="shared" ref="H101" si="154">H92/H$93</f>
        <v>0.17573872472783825</v>
      </c>
      <c r="I101" s="158">
        <f t="shared" si="122"/>
        <v>0.1601123595505618</v>
      </c>
      <c r="J101" s="159">
        <f t="shared" si="122"/>
        <v>0.17675159235668789</v>
      </c>
      <c r="K101" s="233">
        <f t="shared" ref="K101:L101" si="155">K92/K$93</f>
        <v>0.15423514538558786</v>
      </c>
      <c r="L101" s="233">
        <f t="shared" si="155"/>
        <v>0.12936046511627908</v>
      </c>
      <c r="M101" s="233">
        <f t="shared" ref="M101" si="156">M92/M$93</f>
        <v>0.14262295081967213</v>
      </c>
      <c r="N101" s="384">
        <f t="shared" si="131"/>
        <v>0.16684767852294324</v>
      </c>
    </row>
    <row r="102" spans="1:14" x14ac:dyDescent="0.2">
      <c r="A102" s="96"/>
      <c r="B102" s="352"/>
      <c r="C102" s="353"/>
      <c r="D102" s="165"/>
      <c r="E102" s="163"/>
      <c r="F102" s="164"/>
      <c r="G102" s="165"/>
      <c r="H102" s="401"/>
      <c r="I102" s="402"/>
      <c r="J102" s="403"/>
      <c r="K102" s="163"/>
      <c r="L102" s="164"/>
      <c r="M102" s="165"/>
      <c r="N102" s="337"/>
    </row>
    <row r="103" spans="1:14" x14ac:dyDescent="0.2">
      <c r="A103" s="99" t="s">
        <v>57</v>
      </c>
      <c r="B103" s="120">
        <v>45658</v>
      </c>
      <c r="C103" s="121">
        <v>45689</v>
      </c>
      <c r="D103" s="122">
        <v>45717</v>
      </c>
      <c r="E103" s="120">
        <v>45748</v>
      </c>
      <c r="F103" s="121">
        <v>45778</v>
      </c>
      <c r="G103" s="122">
        <v>45809</v>
      </c>
      <c r="H103" s="120">
        <v>45839</v>
      </c>
      <c r="I103" s="121">
        <v>45870</v>
      </c>
      <c r="J103" s="122">
        <v>45901</v>
      </c>
      <c r="K103" s="120">
        <v>45931</v>
      </c>
      <c r="L103" s="121">
        <v>45962</v>
      </c>
      <c r="M103" s="122">
        <v>45992</v>
      </c>
      <c r="N103" s="199" t="s">
        <v>7</v>
      </c>
    </row>
    <row r="104" spans="1:14" x14ac:dyDescent="0.2">
      <c r="A104" s="105" t="s">
        <v>58</v>
      </c>
      <c r="B104" s="141">
        <v>316</v>
      </c>
      <c r="C104" s="142">
        <v>320</v>
      </c>
      <c r="D104" s="143">
        <v>311</v>
      </c>
      <c r="E104" s="141">
        <v>321</v>
      </c>
      <c r="F104" s="142">
        <v>322</v>
      </c>
      <c r="G104" s="143">
        <v>356</v>
      </c>
      <c r="H104" s="141">
        <v>389</v>
      </c>
      <c r="I104" s="142">
        <v>417</v>
      </c>
      <c r="J104" s="143">
        <v>379</v>
      </c>
      <c r="K104" s="141">
        <f>123+352</f>
        <v>475</v>
      </c>
      <c r="L104" s="142">
        <v>429</v>
      </c>
      <c r="M104" s="143">
        <v>368</v>
      </c>
      <c r="N104" s="209">
        <f>SUM(B104:M104)</f>
        <v>4403</v>
      </c>
    </row>
    <row r="105" spans="1:14" x14ac:dyDescent="0.2">
      <c r="A105" s="103" t="s">
        <v>59</v>
      </c>
      <c r="B105" s="146">
        <v>161</v>
      </c>
      <c r="C105" s="109">
        <v>142</v>
      </c>
      <c r="D105" s="147">
        <v>145</v>
      </c>
      <c r="E105" s="146">
        <v>150</v>
      </c>
      <c r="F105" s="109">
        <v>165</v>
      </c>
      <c r="G105" s="147">
        <v>134</v>
      </c>
      <c r="H105" s="146">
        <v>177</v>
      </c>
      <c r="I105" s="109">
        <v>201</v>
      </c>
      <c r="J105" s="147">
        <v>179</v>
      </c>
      <c r="K105" s="146">
        <f>69+163</f>
        <v>232</v>
      </c>
      <c r="L105" s="109">
        <v>199</v>
      </c>
      <c r="M105" s="147">
        <v>187</v>
      </c>
      <c r="N105" s="209">
        <f t="shared" ref="N105:N108" si="157">SUM(B105:M105)</f>
        <v>2072</v>
      </c>
    </row>
    <row r="106" spans="1:14" x14ac:dyDescent="0.2">
      <c r="A106" s="103" t="s">
        <v>60</v>
      </c>
      <c r="B106" s="146">
        <v>5</v>
      </c>
      <c r="C106" s="109">
        <v>3</v>
      </c>
      <c r="D106" s="147">
        <v>1</v>
      </c>
      <c r="E106" s="146">
        <v>2</v>
      </c>
      <c r="F106" s="109">
        <v>5</v>
      </c>
      <c r="G106" s="147">
        <v>1</v>
      </c>
      <c r="H106" s="146">
        <v>3</v>
      </c>
      <c r="I106" s="109">
        <v>2</v>
      </c>
      <c r="J106" s="147"/>
      <c r="K106" s="146">
        <f>1</f>
        <v>1</v>
      </c>
      <c r="L106" s="109">
        <v>1</v>
      </c>
      <c r="M106" s="147">
        <v>2</v>
      </c>
      <c r="N106" s="209">
        <f t="shared" si="157"/>
        <v>26</v>
      </c>
    </row>
    <row r="107" spans="1:14" x14ac:dyDescent="0.2">
      <c r="A107" s="103" t="s">
        <v>55</v>
      </c>
      <c r="B107" s="146">
        <v>74</v>
      </c>
      <c r="C107" s="109">
        <v>77</v>
      </c>
      <c r="D107" s="147">
        <v>67</v>
      </c>
      <c r="E107" s="146">
        <v>60</v>
      </c>
      <c r="F107" s="109">
        <v>79</v>
      </c>
      <c r="G107" s="147">
        <v>77</v>
      </c>
      <c r="H107" s="146">
        <v>74</v>
      </c>
      <c r="I107" s="109">
        <v>92</v>
      </c>
      <c r="J107" s="147">
        <v>70</v>
      </c>
      <c r="K107" s="146">
        <f>24+59</f>
        <v>83</v>
      </c>
      <c r="L107" s="109">
        <v>59</v>
      </c>
      <c r="M107" s="147">
        <v>53</v>
      </c>
      <c r="N107" s="209">
        <f t="shared" si="157"/>
        <v>865</v>
      </c>
    </row>
    <row r="108" spans="1:14" x14ac:dyDescent="0.2">
      <c r="A108" s="106" t="s">
        <v>24</v>
      </c>
      <c r="B108" s="258">
        <f t="shared" ref="B108:H108" si="158">SUM(B104:B107)</f>
        <v>556</v>
      </c>
      <c r="C108" s="259">
        <f t="shared" si="158"/>
        <v>542</v>
      </c>
      <c r="D108" s="260">
        <f t="shared" si="158"/>
        <v>524</v>
      </c>
      <c r="E108" s="258">
        <f t="shared" si="158"/>
        <v>533</v>
      </c>
      <c r="F108" s="259">
        <f t="shared" si="158"/>
        <v>571</v>
      </c>
      <c r="G108" s="260">
        <f t="shared" si="158"/>
        <v>568</v>
      </c>
      <c r="H108" s="258">
        <f t="shared" si="158"/>
        <v>643</v>
      </c>
      <c r="I108" s="259">
        <f>SUM(I104:I107)</f>
        <v>712</v>
      </c>
      <c r="J108" s="260">
        <f>SUM(J104:J107)</f>
        <v>628</v>
      </c>
      <c r="K108" s="258">
        <f>SUM(K104:K107)</f>
        <v>791</v>
      </c>
      <c r="L108" s="258">
        <f>SUM(L104:L107)</f>
        <v>688</v>
      </c>
      <c r="M108" s="258">
        <f>SUM(M104:M107)</f>
        <v>610</v>
      </c>
      <c r="N108" s="208">
        <f t="shared" si="157"/>
        <v>7366</v>
      </c>
    </row>
    <row r="109" spans="1:14" x14ac:dyDescent="0.2">
      <c r="A109" s="99" t="s">
        <v>17</v>
      </c>
      <c r="B109" s="120">
        <v>45658</v>
      </c>
      <c r="C109" s="121">
        <v>45689</v>
      </c>
      <c r="D109" s="122">
        <v>45717</v>
      </c>
      <c r="E109" s="120">
        <v>45748</v>
      </c>
      <c r="F109" s="121">
        <v>45778</v>
      </c>
      <c r="G109" s="122">
        <v>45809</v>
      </c>
      <c r="H109" s="120">
        <v>45839</v>
      </c>
      <c r="I109" s="121">
        <v>45870</v>
      </c>
      <c r="J109" s="122">
        <v>45901</v>
      </c>
      <c r="K109" s="120">
        <v>45931</v>
      </c>
      <c r="L109" s="121">
        <v>45962</v>
      </c>
      <c r="M109" s="122">
        <v>45992</v>
      </c>
      <c r="N109" s="199"/>
    </row>
    <row r="110" spans="1:14" x14ac:dyDescent="0.2">
      <c r="A110" s="105" t="s">
        <v>58</v>
      </c>
      <c r="B110" s="229">
        <f t="shared" ref="B110:G110" si="159">B104/B$108</f>
        <v>0.56834532374100721</v>
      </c>
      <c r="C110" s="144">
        <f t="shared" si="159"/>
        <v>0.59040590405904059</v>
      </c>
      <c r="D110" s="230">
        <f t="shared" si="159"/>
        <v>0.59351145038167941</v>
      </c>
      <c r="E110" s="229">
        <f t="shared" si="159"/>
        <v>0.60225140712945591</v>
      </c>
      <c r="F110" s="144">
        <f t="shared" si="159"/>
        <v>0.56392294220665495</v>
      </c>
      <c r="G110" s="230">
        <f t="shared" si="159"/>
        <v>0.62676056338028174</v>
      </c>
      <c r="H110" s="229">
        <f t="shared" ref="H110" si="160">H104/H$108</f>
        <v>0.60497667185069981</v>
      </c>
      <c r="I110" s="144">
        <f t="shared" ref="I110:L113" si="161">I104/I$108</f>
        <v>0.5856741573033708</v>
      </c>
      <c r="J110" s="230">
        <f t="shared" si="161"/>
        <v>0.60350318471337583</v>
      </c>
      <c r="K110" s="309">
        <f t="shared" si="161"/>
        <v>0.60050568900126422</v>
      </c>
      <c r="L110" s="309">
        <f t="shared" si="161"/>
        <v>0.62354651162790697</v>
      </c>
      <c r="M110" s="309">
        <f t="shared" ref="M110" si="162">M104/M$108</f>
        <v>0.60327868852459021</v>
      </c>
      <c r="N110" s="384">
        <f>N104/$N$108</f>
        <v>0.5977464023893565</v>
      </c>
    </row>
    <row r="111" spans="1:14" x14ac:dyDescent="0.2">
      <c r="A111" s="103" t="s">
        <v>59</v>
      </c>
      <c r="B111" s="172">
        <f t="shared" ref="B111:C113" si="163">B105/B$108</f>
        <v>0.28956834532374098</v>
      </c>
      <c r="C111" s="170">
        <f t="shared" si="163"/>
        <v>0.26199261992619927</v>
      </c>
      <c r="D111" s="171">
        <f t="shared" ref="D111:E111" si="164">D105/D$108</f>
        <v>0.27671755725190839</v>
      </c>
      <c r="E111" s="172">
        <f t="shared" si="164"/>
        <v>0.28142589118198874</v>
      </c>
      <c r="F111" s="170">
        <f t="shared" ref="F111:G111" si="165">F105/F$108</f>
        <v>0.28896672504378285</v>
      </c>
      <c r="G111" s="171">
        <f t="shared" si="165"/>
        <v>0.23591549295774647</v>
      </c>
      <c r="H111" s="172">
        <f t="shared" ref="H111" si="166">H105/H$108</f>
        <v>0.27527216174183516</v>
      </c>
      <c r="I111" s="170">
        <f t="shared" si="161"/>
        <v>0.28230337078651685</v>
      </c>
      <c r="J111" s="171">
        <f t="shared" si="161"/>
        <v>0.28503184713375795</v>
      </c>
      <c r="K111" s="364">
        <f t="shared" si="161"/>
        <v>0.29329962073324906</v>
      </c>
      <c r="L111" s="364">
        <f t="shared" si="161"/>
        <v>0.28924418604651164</v>
      </c>
      <c r="M111" s="364">
        <f t="shared" ref="M111" si="167">M105/M$108</f>
        <v>0.30655737704918035</v>
      </c>
      <c r="N111" s="384">
        <f t="shared" ref="N111:N113" si="168">N105/$N$108</f>
        <v>0.28129242465381482</v>
      </c>
    </row>
    <row r="112" spans="1:14" x14ac:dyDescent="0.2">
      <c r="A112" s="103" t="s">
        <v>60</v>
      </c>
      <c r="B112" s="172">
        <f t="shared" si="163"/>
        <v>8.9928057553956831E-3</v>
      </c>
      <c r="C112" s="170">
        <f t="shared" si="163"/>
        <v>5.5350553505535052E-3</v>
      </c>
      <c r="D112" s="171">
        <f t="shared" ref="D112:E112" si="169">D106/D$108</f>
        <v>1.9083969465648854E-3</v>
      </c>
      <c r="E112" s="172">
        <f t="shared" si="169"/>
        <v>3.7523452157598499E-3</v>
      </c>
      <c r="F112" s="170">
        <f t="shared" ref="F112:G112" si="170">F106/F$108</f>
        <v>8.7565674255691769E-3</v>
      </c>
      <c r="G112" s="171">
        <f t="shared" si="170"/>
        <v>1.7605633802816902E-3</v>
      </c>
      <c r="H112" s="172">
        <f t="shared" ref="H112" si="171">H106/H$108</f>
        <v>4.6656298600311046E-3</v>
      </c>
      <c r="I112" s="170">
        <f t="shared" si="161"/>
        <v>2.8089887640449437E-3</v>
      </c>
      <c r="J112" s="171">
        <f t="shared" si="161"/>
        <v>0</v>
      </c>
      <c r="K112" s="364">
        <f t="shared" si="161"/>
        <v>1.2642225031605564E-3</v>
      </c>
      <c r="L112" s="364">
        <f t="shared" si="161"/>
        <v>1.4534883720930232E-3</v>
      </c>
      <c r="M112" s="364">
        <f t="shared" ref="M112" si="172">M106/M$108</f>
        <v>3.2786885245901639E-3</v>
      </c>
      <c r="N112" s="384">
        <f t="shared" si="168"/>
        <v>3.5297311973934292E-3</v>
      </c>
    </row>
    <row r="113" spans="1:14" x14ac:dyDescent="0.2">
      <c r="A113" s="107" t="s">
        <v>55</v>
      </c>
      <c r="B113" s="160">
        <f t="shared" si="163"/>
        <v>0.13309352517985612</v>
      </c>
      <c r="C113" s="158">
        <f t="shared" si="163"/>
        <v>0.14206642066420663</v>
      </c>
      <c r="D113" s="159">
        <f t="shared" ref="D113:E113" si="173">D107/D$108</f>
        <v>0.12786259541984732</v>
      </c>
      <c r="E113" s="160">
        <f t="shared" si="173"/>
        <v>0.11257035647279549</v>
      </c>
      <c r="F113" s="158">
        <f t="shared" ref="F113:G113" si="174">F107/F$108</f>
        <v>0.13835376532399299</v>
      </c>
      <c r="G113" s="159">
        <f t="shared" si="174"/>
        <v>0.13556338028169015</v>
      </c>
      <c r="H113" s="160">
        <f t="shared" ref="H113" si="175">H107/H$108</f>
        <v>0.11508553654743391</v>
      </c>
      <c r="I113" s="158">
        <f t="shared" si="161"/>
        <v>0.12921348314606743</v>
      </c>
      <c r="J113" s="159">
        <f t="shared" si="161"/>
        <v>0.11146496815286625</v>
      </c>
      <c r="K113" s="233">
        <f t="shared" si="161"/>
        <v>0.10493046776232617</v>
      </c>
      <c r="L113" s="233">
        <f t="shared" si="161"/>
        <v>8.5755813953488372E-2</v>
      </c>
      <c r="M113" s="233">
        <f t="shared" ref="M113" si="176">M107/M$108</f>
        <v>8.6885245901639346E-2</v>
      </c>
      <c r="N113" s="384">
        <f t="shared" si="168"/>
        <v>0.11743144175943525</v>
      </c>
    </row>
    <row r="114" spans="1:14" x14ac:dyDescent="0.2">
      <c r="A114" s="96"/>
      <c r="B114" s="352"/>
      <c r="C114" s="353"/>
      <c r="D114" s="165"/>
      <c r="E114" s="163"/>
      <c r="F114" s="164"/>
      <c r="G114" s="165"/>
      <c r="H114" s="401"/>
      <c r="I114" s="402"/>
      <c r="J114" s="403"/>
      <c r="K114" s="163"/>
      <c r="L114" s="164"/>
      <c r="M114" s="165"/>
      <c r="N114" s="337"/>
    </row>
    <row r="115" spans="1:14" x14ac:dyDescent="0.2">
      <c r="A115" s="99" t="s">
        <v>61</v>
      </c>
      <c r="B115" s="341">
        <v>45658</v>
      </c>
      <c r="C115" s="342">
        <v>45689</v>
      </c>
      <c r="D115" s="343">
        <v>45717</v>
      </c>
      <c r="E115" s="341">
        <v>45748</v>
      </c>
      <c r="F115" s="342">
        <v>45778</v>
      </c>
      <c r="G115" s="343">
        <v>45809</v>
      </c>
      <c r="H115" s="341">
        <v>45839</v>
      </c>
      <c r="I115" s="342">
        <v>45870</v>
      </c>
      <c r="J115" s="343">
        <v>45901</v>
      </c>
      <c r="K115" s="341">
        <v>45931</v>
      </c>
      <c r="L115" s="342">
        <v>45962</v>
      </c>
      <c r="M115" s="343">
        <v>45992</v>
      </c>
      <c r="N115" s="199" t="s">
        <v>7</v>
      </c>
    </row>
    <row r="116" spans="1:14" x14ac:dyDescent="0.2">
      <c r="A116" s="105" t="s">
        <v>62</v>
      </c>
      <c r="B116" s="347">
        <v>1</v>
      </c>
      <c r="C116" s="348">
        <v>7</v>
      </c>
      <c r="D116" s="349">
        <v>4</v>
      </c>
      <c r="E116" s="347">
        <v>13</v>
      </c>
      <c r="F116" s="348">
        <v>14</v>
      </c>
      <c r="G116" s="349">
        <v>10</v>
      </c>
      <c r="H116" s="347">
        <v>8</v>
      </c>
      <c r="I116" s="348">
        <v>15</v>
      </c>
      <c r="J116" s="349">
        <v>9</v>
      </c>
      <c r="K116" s="347">
        <f>5+7</f>
        <v>12</v>
      </c>
      <c r="L116" s="348">
        <v>10</v>
      </c>
      <c r="M116" s="349">
        <v>10</v>
      </c>
      <c r="N116" s="209">
        <f>SUM(B116:M116)</f>
        <v>113</v>
      </c>
    </row>
    <row r="117" spans="1:14" x14ac:dyDescent="0.2">
      <c r="A117" s="103" t="s">
        <v>63</v>
      </c>
      <c r="B117" s="146">
        <v>71</v>
      </c>
      <c r="C117" s="109">
        <v>71</v>
      </c>
      <c r="D117" s="147">
        <v>69</v>
      </c>
      <c r="E117" s="146">
        <v>75</v>
      </c>
      <c r="F117" s="109">
        <v>70</v>
      </c>
      <c r="G117" s="147">
        <v>65</v>
      </c>
      <c r="H117" s="146">
        <v>83</v>
      </c>
      <c r="I117" s="109">
        <v>90</v>
      </c>
      <c r="J117" s="147">
        <v>66</v>
      </c>
      <c r="K117" s="146">
        <f>25+79</f>
        <v>104</v>
      </c>
      <c r="L117" s="109">
        <v>117</v>
      </c>
      <c r="M117" s="147">
        <v>69</v>
      </c>
      <c r="N117" s="209">
        <f t="shared" ref="N117:N123" si="177">SUM(B117:M117)</f>
        <v>950</v>
      </c>
    </row>
    <row r="118" spans="1:14" x14ac:dyDescent="0.2">
      <c r="A118" s="103" t="s">
        <v>64</v>
      </c>
      <c r="B118" s="146">
        <v>156</v>
      </c>
      <c r="C118" s="109">
        <v>152</v>
      </c>
      <c r="D118" s="147">
        <v>132</v>
      </c>
      <c r="E118" s="146">
        <v>131</v>
      </c>
      <c r="F118" s="109">
        <v>125</v>
      </c>
      <c r="G118" s="147">
        <v>142</v>
      </c>
      <c r="H118" s="146">
        <v>170</v>
      </c>
      <c r="I118" s="109">
        <v>167</v>
      </c>
      <c r="J118" s="147">
        <v>155</v>
      </c>
      <c r="K118" s="146">
        <f>53+128</f>
        <v>181</v>
      </c>
      <c r="L118" s="109">
        <v>149</v>
      </c>
      <c r="M118" s="147">
        <v>144</v>
      </c>
      <c r="N118" s="209">
        <f t="shared" si="177"/>
        <v>1804</v>
      </c>
    </row>
    <row r="119" spans="1:14" x14ac:dyDescent="0.2">
      <c r="A119" s="103" t="s">
        <v>65</v>
      </c>
      <c r="B119" s="146">
        <v>101</v>
      </c>
      <c r="C119" s="109">
        <v>81</v>
      </c>
      <c r="D119" s="147">
        <v>86</v>
      </c>
      <c r="E119" s="146">
        <v>96</v>
      </c>
      <c r="F119" s="109">
        <v>94</v>
      </c>
      <c r="G119" s="147">
        <v>105</v>
      </c>
      <c r="H119" s="146">
        <v>103</v>
      </c>
      <c r="I119" s="109">
        <v>112</v>
      </c>
      <c r="J119" s="147">
        <v>117</v>
      </c>
      <c r="K119" s="146">
        <f>43+108</f>
        <v>151</v>
      </c>
      <c r="L119" s="109">
        <v>118</v>
      </c>
      <c r="M119" s="147">
        <v>115</v>
      </c>
      <c r="N119" s="209">
        <f t="shared" si="177"/>
        <v>1279</v>
      </c>
    </row>
    <row r="120" spans="1:14" x14ac:dyDescent="0.2">
      <c r="A120" s="103" t="s">
        <v>66</v>
      </c>
      <c r="B120" s="146">
        <v>75</v>
      </c>
      <c r="C120" s="109">
        <v>64</v>
      </c>
      <c r="D120" s="147">
        <v>73</v>
      </c>
      <c r="E120" s="146">
        <v>76</v>
      </c>
      <c r="F120" s="109">
        <v>74</v>
      </c>
      <c r="G120" s="147">
        <v>82</v>
      </c>
      <c r="H120" s="146">
        <v>95</v>
      </c>
      <c r="I120" s="109">
        <v>108</v>
      </c>
      <c r="J120" s="147">
        <v>70</v>
      </c>
      <c r="K120" s="146">
        <f>29+80</f>
        <v>109</v>
      </c>
      <c r="L120" s="109">
        <v>105</v>
      </c>
      <c r="M120" s="147">
        <v>91</v>
      </c>
      <c r="N120" s="209">
        <f t="shared" si="177"/>
        <v>1022</v>
      </c>
    </row>
    <row r="121" spans="1:14" x14ac:dyDescent="0.2">
      <c r="A121" s="103" t="s">
        <v>67</v>
      </c>
      <c r="B121" s="146">
        <v>20</v>
      </c>
      <c r="C121" s="109">
        <v>12</v>
      </c>
      <c r="D121" s="147">
        <v>8</v>
      </c>
      <c r="E121" s="146">
        <v>9</v>
      </c>
      <c r="F121" s="109">
        <v>24</v>
      </c>
      <c r="G121" s="147">
        <v>13</v>
      </c>
      <c r="H121" s="146">
        <v>22</v>
      </c>
      <c r="I121" s="109">
        <v>26</v>
      </c>
      <c r="J121" s="147">
        <v>23</v>
      </c>
      <c r="K121" s="146">
        <f>9+27</f>
        <v>36</v>
      </c>
      <c r="L121" s="109">
        <v>19</v>
      </c>
      <c r="M121" s="147">
        <v>17</v>
      </c>
      <c r="N121" s="209">
        <f t="shared" si="177"/>
        <v>229</v>
      </c>
    </row>
    <row r="122" spans="1:14" x14ac:dyDescent="0.2">
      <c r="A122" s="103" t="s">
        <v>68</v>
      </c>
      <c r="B122" s="146">
        <v>1</v>
      </c>
      <c r="C122" s="109">
        <v>3</v>
      </c>
      <c r="D122" s="147">
        <v>5</v>
      </c>
      <c r="E122" s="146">
        <v>3</v>
      </c>
      <c r="F122" s="109">
        <v>2</v>
      </c>
      <c r="G122" s="147">
        <v>1</v>
      </c>
      <c r="H122" s="146">
        <v>4</v>
      </c>
      <c r="I122" s="109">
        <v>5</v>
      </c>
      <c r="J122" s="147">
        <v>5</v>
      </c>
      <c r="K122" s="146">
        <f>3+2</f>
        <v>5</v>
      </c>
      <c r="L122" s="109">
        <v>2</v>
      </c>
      <c r="M122" s="147">
        <v>3</v>
      </c>
      <c r="N122" s="209">
        <f t="shared" si="177"/>
        <v>39</v>
      </c>
    </row>
    <row r="123" spans="1:14" x14ac:dyDescent="0.2">
      <c r="A123" s="103" t="s">
        <v>31</v>
      </c>
      <c r="B123" s="146">
        <v>131</v>
      </c>
      <c r="C123" s="109">
        <v>152</v>
      </c>
      <c r="D123" s="147">
        <v>147</v>
      </c>
      <c r="E123" s="146">
        <v>130</v>
      </c>
      <c r="F123" s="109">
        <v>168</v>
      </c>
      <c r="G123" s="147">
        <v>150</v>
      </c>
      <c r="H123" s="146">
        <v>158</v>
      </c>
      <c r="I123" s="109">
        <v>189</v>
      </c>
      <c r="J123" s="147">
        <v>183</v>
      </c>
      <c r="K123" s="146">
        <f>50+143</f>
        <v>193</v>
      </c>
      <c r="L123" s="109">
        <v>168</v>
      </c>
      <c r="M123" s="147">
        <v>161</v>
      </c>
      <c r="N123" s="209">
        <f t="shared" si="177"/>
        <v>1930</v>
      </c>
    </row>
    <row r="124" spans="1:14" x14ac:dyDescent="0.2">
      <c r="A124" s="106" t="s">
        <v>24</v>
      </c>
      <c r="B124" s="177">
        <f t="shared" ref="B124:H124" si="178">SUM(B116:B123)</f>
        <v>556</v>
      </c>
      <c r="C124" s="175">
        <f t="shared" si="178"/>
        <v>542</v>
      </c>
      <c r="D124" s="176">
        <f t="shared" si="178"/>
        <v>524</v>
      </c>
      <c r="E124" s="177">
        <f t="shared" si="178"/>
        <v>533</v>
      </c>
      <c r="F124" s="175">
        <f t="shared" si="178"/>
        <v>571</v>
      </c>
      <c r="G124" s="176">
        <f t="shared" si="178"/>
        <v>568</v>
      </c>
      <c r="H124" s="177">
        <f t="shared" si="178"/>
        <v>643</v>
      </c>
      <c r="I124" s="175">
        <f>SUM(I116:I123)</f>
        <v>712</v>
      </c>
      <c r="J124" s="176">
        <f>SUM(J116:J123)</f>
        <v>628</v>
      </c>
      <c r="K124" s="177">
        <f>SUM(K116:K123)</f>
        <v>791</v>
      </c>
      <c r="L124" s="177">
        <f>SUM(L116:L123)</f>
        <v>688</v>
      </c>
      <c r="M124" s="177">
        <f>SUM(M116:M123)</f>
        <v>610</v>
      </c>
      <c r="N124" s="208">
        <f>SUM(B124:M124)</f>
        <v>7366</v>
      </c>
    </row>
    <row r="125" spans="1:14" x14ac:dyDescent="0.2">
      <c r="A125" s="99" t="s">
        <v>17</v>
      </c>
      <c r="B125" s="356">
        <v>45658</v>
      </c>
      <c r="C125" s="357">
        <v>45689</v>
      </c>
      <c r="D125" s="358">
        <v>45717</v>
      </c>
      <c r="E125" s="356">
        <v>45748</v>
      </c>
      <c r="F125" s="357">
        <v>45778</v>
      </c>
      <c r="G125" s="358">
        <v>45809</v>
      </c>
      <c r="H125" s="356">
        <v>45839</v>
      </c>
      <c r="I125" s="357">
        <v>45870</v>
      </c>
      <c r="J125" s="358">
        <v>45901</v>
      </c>
      <c r="K125" s="356">
        <v>45931</v>
      </c>
      <c r="L125" s="357">
        <v>45962</v>
      </c>
      <c r="M125" s="358">
        <v>45992</v>
      </c>
      <c r="N125" s="199"/>
    </row>
    <row r="126" spans="1:14" x14ac:dyDescent="0.2">
      <c r="A126" s="105" t="s">
        <v>62</v>
      </c>
      <c r="B126" s="360">
        <f t="shared" ref="B126:G126" si="179">B116/B$124</f>
        <v>1.7985611510791368E-3</v>
      </c>
      <c r="C126" s="361">
        <f t="shared" si="179"/>
        <v>1.2915129151291513E-2</v>
      </c>
      <c r="D126" s="362">
        <f t="shared" si="179"/>
        <v>7.6335877862595417E-3</v>
      </c>
      <c r="E126" s="360">
        <f t="shared" si="179"/>
        <v>2.4390243902439025E-2</v>
      </c>
      <c r="F126" s="361">
        <f t="shared" si="179"/>
        <v>2.4518388791593695E-2</v>
      </c>
      <c r="G126" s="362">
        <f t="shared" si="179"/>
        <v>1.7605633802816902E-2</v>
      </c>
      <c r="H126" s="360">
        <f t="shared" ref="H126" si="180">H116/H$124</f>
        <v>1.2441679626749611E-2</v>
      </c>
      <c r="I126" s="361">
        <f t="shared" ref="I126:J133" si="181">I116/I$124</f>
        <v>2.1067415730337078E-2</v>
      </c>
      <c r="J126" s="362">
        <f t="shared" si="181"/>
        <v>1.4331210191082803E-2</v>
      </c>
      <c r="K126" s="363">
        <f t="shared" ref="K126:L126" si="182">K116/K$124</f>
        <v>1.5170670037926675E-2</v>
      </c>
      <c r="L126" s="363">
        <f t="shared" si="182"/>
        <v>1.4534883720930232E-2</v>
      </c>
      <c r="M126" s="363">
        <f t="shared" ref="M126" si="183">M116/M$124</f>
        <v>1.6393442622950821E-2</v>
      </c>
      <c r="N126" s="384">
        <f>N116/$N$124</f>
        <v>1.5340754819440673E-2</v>
      </c>
    </row>
    <row r="127" spans="1:14" x14ac:dyDescent="0.2">
      <c r="A127" s="103" t="s">
        <v>63</v>
      </c>
      <c r="B127" s="172">
        <f t="shared" ref="B127:C133" si="184">B117/B$124</f>
        <v>0.12769784172661872</v>
      </c>
      <c r="C127" s="170">
        <f t="shared" si="184"/>
        <v>0.13099630996309963</v>
      </c>
      <c r="D127" s="171">
        <f t="shared" ref="D127:E127" si="185">D117/D$124</f>
        <v>0.1316793893129771</v>
      </c>
      <c r="E127" s="172">
        <f t="shared" si="185"/>
        <v>0.14071294559099437</v>
      </c>
      <c r="F127" s="170">
        <f t="shared" ref="F127:G127" si="186">F117/F$124</f>
        <v>0.12259194395796848</v>
      </c>
      <c r="G127" s="171">
        <f t="shared" si="186"/>
        <v>0.11443661971830986</v>
      </c>
      <c r="H127" s="172">
        <f t="shared" ref="H127" si="187">H117/H$124</f>
        <v>0.12908242612752721</v>
      </c>
      <c r="I127" s="170">
        <f t="shared" si="181"/>
        <v>0.12640449438202248</v>
      </c>
      <c r="J127" s="171">
        <f t="shared" si="181"/>
        <v>0.10509554140127389</v>
      </c>
      <c r="K127" s="364">
        <f t="shared" ref="K127:L127" si="188">K117/K$124</f>
        <v>0.13147914032869784</v>
      </c>
      <c r="L127" s="364">
        <f t="shared" si="188"/>
        <v>0.17005813953488372</v>
      </c>
      <c r="M127" s="364">
        <f t="shared" ref="M127" si="189">M117/M$124</f>
        <v>0.11311475409836065</v>
      </c>
      <c r="N127" s="384">
        <f t="shared" ref="N127:N133" si="190">N117/$N$124</f>
        <v>0.12897094759706762</v>
      </c>
    </row>
    <row r="128" spans="1:14" x14ac:dyDescent="0.2">
      <c r="A128" s="103" t="s">
        <v>64</v>
      </c>
      <c r="B128" s="172">
        <f t="shared" si="184"/>
        <v>0.2805755395683453</v>
      </c>
      <c r="C128" s="170">
        <f t="shared" si="184"/>
        <v>0.28044280442804426</v>
      </c>
      <c r="D128" s="171">
        <f t="shared" ref="D128:E128" si="191">D118/D$124</f>
        <v>0.25190839694656486</v>
      </c>
      <c r="E128" s="172">
        <f t="shared" si="191"/>
        <v>0.24577861163227016</v>
      </c>
      <c r="F128" s="170">
        <f t="shared" ref="F128:G128" si="192">F118/F$124</f>
        <v>0.21891418563922943</v>
      </c>
      <c r="G128" s="171">
        <f t="shared" si="192"/>
        <v>0.25</v>
      </c>
      <c r="H128" s="172">
        <f t="shared" ref="H128" si="193">H118/H$124</f>
        <v>0.26438569206842921</v>
      </c>
      <c r="I128" s="170">
        <f t="shared" si="181"/>
        <v>0.2345505617977528</v>
      </c>
      <c r="J128" s="171">
        <f t="shared" si="181"/>
        <v>0.24681528662420382</v>
      </c>
      <c r="K128" s="364">
        <f t="shared" ref="K128:L128" si="194">K118/K$124</f>
        <v>0.22882427307206069</v>
      </c>
      <c r="L128" s="364">
        <f t="shared" si="194"/>
        <v>0.21656976744186046</v>
      </c>
      <c r="M128" s="364">
        <f t="shared" ref="M128" si="195">M118/M$124</f>
        <v>0.23606557377049181</v>
      </c>
      <c r="N128" s="384">
        <f t="shared" si="190"/>
        <v>0.24490904154222101</v>
      </c>
    </row>
    <row r="129" spans="1:14" x14ac:dyDescent="0.2">
      <c r="A129" s="103" t="s">
        <v>65</v>
      </c>
      <c r="B129" s="172">
        <f t="shared" si="184"/>
        <v>0.18165467625899281</v>
      </c>
      <c r="C129" s="170">
        <f t="shared" si="184"/>
        <v>0.14944649446494465</v>
      </c>
      <c r="D129" s="171">
        <f t="shared" ref="D129:E129" si="196">D119/D$124</f>
        <v>0.16412213740458015</v>
      </c>
      <c r="E129" s="172">
        <f t="shared" si="196"/>
        <v>0.1801125703564728</v>
      </c>
      <c r="F129" s="170">
        <f t="shared" ref="F129:G129" si="197">F119/F$124</f>
        <v>0.16462346760070051</v>
      </c>
      <c r="G129" s="171">
        <f t="shared" si="197"/>
        <v>0.18485915492957747</v>
      </c>
      <c r="H129" s="172">
        <f t="shared" ref="H129" si="198">H119/H$124</f>
        <v>0.16018662519440124</v>
      </c>
      <c r="I129" s="170">
        <f t="shared" si="181"/>
        <v>0.15730337078651685</v>
      </c>
      <c r="J129" s="171">
        <f t="shared" si="181"/>
        <v>0.18630573248407642</v>
      </c>
      <c r="K129" s="364">
        <f t="shared" ref="K129:L129" si="199">K119/K$124</f>
        <v>0.19089759797724398</v>
      </c>
      <c r="L129" s="364">
        <f t="shared" si="199"/>
        <v>0.17151162790697674</v>
      </c>
      <c r="M129" s="364">
        <f t="shared" ref="M129" si="200">M119/M$124</f>
        <v>0.18852459016393441</v>
      </c>
      <c r="N129" s="384">
        <f t="shared" si="190"/>
        <v>0.17363562313331524</v>
      </c>
    </row>
    <row r="130" spans="1:14" x14ac:dyDescent="0.2">
      <c r="A130" s="103" t="s">
        <v>66</v>
      </c>
      <c r="B130" s="172">
        <f t="shared" si="184"/>
        <v>0.13489208633093525</v>
      </c>
      <c r="C130" s="170">
        <f t="shared" si="184"/>
        <v>0.11808118081180811</v>
      </c>
      <c r="D130" s="171">
        <f t="shared" ref="D130:E130" si="201">D120/D$124</f>
        <v>0.13931297709923665</v>
      </c>
      <c r="E130" s="172">
        <f t="shared" si="201"/>
        <v>0.14258911819887429</v>
      </c>
      <c r="F130" s="170">
        <f t="shared" ref="F130:G130" si="202">F120/F$124</f>
        <v>0.1295971978984238</v>
      </c>
      <c r="G130" s="171">
        <f t="shared" si="202"/>
        <v>0.14436619718309859</v>
      </c>
      <c r="H130" s="172">
        <f t="shared" ref="H130" si="203">H120/H$124</f>
        <v>0.14774494556765164</v>
      </c>
      <c r="I130" s="170">
        <f t="shared" si="181"/>
        <v>0.15168539325842698</v>
      </c>
      <c r="J130" s="171">
        <f t="shared" si="181"/>
        <v>0.11146496815286625</v>
      </c>
      <c r="K130" s="364">
        <f t="shared" ref="K130:L130" si="204">K120/K$124</f>
        <v>0.13780025284450062</v>
      </c>
      <c r="L130" s="364">
        <f t="shared" si="204"/>
        <v>0.15261627906976744</v>
      </c>
      <c r="M130" s="364">
        <f t="shared" ref="M130" si="205">M120/M$124</f>
        <v>0.14918032786885246</v>
      </c>
      <c r="N130" s="384">
        <f t="shared" si="190"/>
        <v>0.13874558783600327</v>
      </c>
    </row>
    <row r="131" spans="1:14" x14ac:dyDescent="0.2">
      <c r="A131" s="103" t="s">
        <v>67</v>
      </c>
      <c r="B131" s="172">
        <f t="shared" si="184"/>
        <v>3.5971223021582732E-2</v>
      </c>
      <c r="C131" s="170">
        <f t="shared" si="184"/>
        <v>2.2140221402214021E-2</v>
      </c>
      <c r="D131" s="171">
        <f t="shared" ref="D131:E131" si="206">D121/D$124</f>
        <v>1.5267175572519083E-2</v>
      </c>
      <c r="E131" s="172">
        <f t="shared" si="206"/>
        <v>1.6885553470919325E-2</v>
      </c>
      <c r="F131" s="170">
        <f t="shared" ref="F131:G131" si="207">F121/F$124</f>
        <v>4.2031523642732049E-2</v>
      </c>
      <c r="G131" s="171">
        <f t="shared" si="207"/>
        <v>2.2887323943661973E-2</v>
      </c>
      <c r="H131" s="172">
        <f t="shared" ref="H131" si="208">H121/H$124</f>
        <v>3.4214618973561428E-2</v>
      </c>
      <c r="I131" s="170">
        <f t="shared" si="181"/>
        <v>3.6516853932584269E-2</v>
      </c>
      <c r="J131" s="171">
        <f t="shared" si="181"/>
        <v>3.662420382165605E-2</v>
      </c>
      <c r="K131" s="364">
        <f t="shared" ref="K131:L131" si="209">K121/K$124</f>
        <v>4.5512010113780026E-2</v>
      </c>
      <c r="L131" s="364">
        <f t="shared" si="209"/>
        <v>2.7616279069767442E-2</v>
      </c>
      <c r="M131" s="364">
        <f t="shared" ref="M131" si="210">M121/M$124</f>
        <v>2.7868852459016394E-2</v>
      </c>
      <c r="N131" s="384">
        <f t="shared" si="190"/>
        <v>3.1088786315503665E-2</v>
      </c>
    </row>
    <row r="132" spans="1:14" x14ac:dyDescent="0.2">
      <c r="A132" s="103" t="s">
        <v>68</v>
      </c>
      <c r="B132" s="172">
        <f t="shared" si="184"/>
        <v>1.7985611510791368E-3</v>
      </c>
      <c r="C132" s="170">
        <f t="shared" si="184"/>
        <v>5.5350553505535052E-3</v>
      </c>
      <c r="D132" s="171">
        <f t="shared" ref="D132:E132" si="211">D122/D$124</f>
        <v>9.5419847328244278E-3</v>
      </c>
      <c r="E132" s="172">
        <f t="shared" si="211"/>
        <v>5.6285178236397749E-3</v>
      </c>
      <c r="F132" s="170">
        <f t="shared" ref="F132:G132" si="212">F122/F$124</f>
        <v>3.5026269702276708E-3</v>
      </c>
      <c r="G132" s="171">
        <f t="shared" si="212"/>
        <v>1.7605633802816902E-3</v>
      </c>
      <c r="H132" s="172">
        <f t="shared" ref="H132" si="213">H122/H$124</f>
        <v>6.2208398133748056E-3</v>
      </c>
      <c r="I132" s="170">
        <f t="shared" si="181"/>
        <v>7.0224719101123594E-3</v>
      </c>
      <c r="J132" s="171">
        <f t="shared" si="181"/>
        <v>7.9617834394904458E-3</v>
      </c>
      <c r="K132" s="364">
        <f t="shared" ref="K132:L132" si="214">K122/K$124</f>
        <v>6.321112515802781E-3</v>
      </c>
      <c r="L132" s="364">
        <f t="shared" si="214"/>
        <v>2.9069767441860465E-3</v>
      </c>
      <c r="M132" s="364">
        <f t="shared" ref="M132" si="215">M122/M$124</f>
        <v>4.9180327868852463E-3</v>
      </c>
      <c r="N132" s="384">
        <f t="shared" si="190"/>
        <v>5.2945967960901438E-3</v>
      </c>
    </row>
    <row r="133" spans="1:14" x14ac:dyDescent="0.2">
      <c r="A133" s="107" t="s">
        <v>31</v>
      </c>
      <c r="B133" s="160">
        <f t="shared" si="184"/>
        <v>0.23561151079136691</v>
      </c>
      <c r="C133" s="158">
        <f t="shared" si="184"/>
        <v>0.28044280442804426</v>
      </c>
      <c r="D133" s="159">
        <f t="shared" ref="D133:E133" si="216">D123/D$124</f>
        <v>0.28053435114503816</v>
      </c>
      <c r="E133" s="160">
        <f t="shared" si="216"/>
        <v>0.24390243902439024</v>
      </c>
      <c r="F133" s="158">
        <f t="shared" ref="F133:G133" si="217">F123/F$124</f>
        <v>0.29422066549912435</v>
      </c>
      <c r="G133" s="159">
        <f t="shared" si="217"/>
        <v>0.2640845070422535</v>
      </c>
      <c r="H133" s="160">
        <f t="shared" ref="H133" si="218">H123/H$124</f>
        <v>0.24572317262830481</v>
      </c>
      <c r="I133" s="158">
        <f t="shared" si="181"/>
        <v>0.2654494382022472</v>
      </c>
      <c r="J133" s="159">
        <f t="shared" si="181"/>
        <v>0.29140127388535031</v>
      </c>
      <c r="K133" s="233">
        <f t="shared" ref="K133:L133" si="219">K123/K$124</f>
        <v>0.24399494310998734</v>
      </c>
      <c r="L133" s="233">
        <f t="shared" si="219"/>
        <v>0.2441860465116279</v>
      </c>
      <c r="M133" s="233">
        <f t="shared" ref="M133" si="220">M123/M$124</f>
        <v>0.26393442622950819</v>
      </c>
      <c r="N133" s="384">
        <f t="shared" si="190"/>
        <v>0.26201466196035839</v>
      </c>
    </row>
    <row r="134" spans="1:14" x14ac:dyDescent="0.2">
      <c r="A134" s="269"/>
      <c r="B134" s="229"/>
      <c r="C134" s="142"/>
      <c r="D134" s="143"/>
      <c r="E134" s="141"/>
      <c r="F134" s="142"/>
      <c r="G134" s="143"/>
      <c r="H134" s="181"/>
      <c r="I134" s="182"/>
      <c r="J134" s="183"/>
      <c r="K134" s="141"/>
      <c r="L134" s="142"/>
      <c r="M134" s="143"/>
      <c r="N134" s="209"/>
    </row>
    <row r="135" spans="1:14" x14ac:dyDescent="0.2">
      <c r="A135" s="106"/>
      <c r="B135" s="312"/>
      <c r="C135" s="313"/>
      <c r="D135" s="131"/>
      <c r="E135" s="129"/>
      <c r="F135" s="130"/>
      <c r="G135" s="131"/>
      <c r="H135" s="258"/>
      <c r="I135" s="259"/>
      <c r="J135" s="260"/>
      <c r="K135" s="129"/>
      <c r="L135" s="130"/>
      <c r="M135" s="131"/>
      <c r="N135" s="355"/>
    </row>
    <row r="136" spans="1:14" x14ac:dyDescent="0.2">
      <c r="A136" s="101" t="s">
        <v>69</v>
      </c>
      <c r="B136" s="190"/>
      <c r="C136" s="191"/>
      <c r="D136" s="192"/>
      <c r="E136" s="190"/>
      <c r="F136" s="191"/>
      <c r="G136" s="192"/>
      <c r="H136" s="398"/>
      <c r="I136" s="399"/>
      <c r="J136" s="400"/>
      <c r="K136" s="190"/>
      <c r="L136" s="191"/>
      <c r="M136" s="192"/>
      <c r="N136" s="372"/>
    </row>
    <row r="137" spans="1:14" x14ac:dyDescent="0.2">
      <c r="A137" s="99" t="s">
        <v>70</v>
      </c>
      <c r="B137" s="341">
        <v>45658</v>
      </c>
      <c r="C137" s="342">
        <v>45689</v>
      </c>
      <c r="D137" s="343">
        <v>45717</v>
      </c>
      <c r="E137" s="341">
        <v>45748</v>
      </c>
      <c r="F137" s="342">
        <v>45778</v>
      </c>
      <c r="G137" s="343">
        <v>45809</v>
      </c>
      <c r="H137" s="341">
        <v>45839</v>
      </c>
      <c r="I137" s="342">
        <v>45870</v>
      </c>
      <c r="J137" s="343">
        <v>45901</v>
      </c>
      <c r="K137" s="341">
        <v>45931</v>
      </c>
      <c r="L137" s="342">
        <v>45962</v>
      </c>
      <c r="M137" s="343">
        <v>45992</v>
      </c>
      <c r="N137" s="199" t="s">
        <v>7</v>
      </c>
    </row>
    <row r="138" spans="1:14" x14ac:dyDescent="0.2">
      <c r="A138" s="105" t="s">
        <v>71</v>
      </c>
      <c r="B138" s="347">
        <v>208</v>
      </c>
      <c r="C138" s="348">
        <v>204</v>
      </c>
      <c r="D138" s="349">
        <v>203</v>
      </c>
      <c r="E138" s="347">
        <v>225</v>
      </c>
      <c r="F138" s="348">
        <v>236</v>
      </c>
      <c r="G138" s="349">
        <v>279</v>
      </c>
      <c r="H138" s="347">
        <v>271</v>
      </c>
      <c r="I138" s="348">
        <v>292</v>
      </c>
      <c r="J138" s="349">
        <v>259</v>
      </c>
      <c r="K138" s="347">
        <f>96+198</f>
        <v>294</v>
      </c>
      <c r="L138" s="348">
        <v>257</v>
      </c>
      <c r="M138" s="349">
        <v>202</v>
      </c>
      <c r="N138" s="209">
        <f>SUM(B138:M138)</f>
        <v>2930</v>
      </c>
    </row>
    <row r="139" spans="1:14" x14ac:dyDescent="0.2">
      <c r="A139" s="103" t="s">
        <v>72</v>
      </c>
      <c r="B139" s="146">
        <v>206</v>
      </c>
      <c r="C139" s="109">
        <v>212</v>
      </c>
      <c r="D139" s="147">
        <v>180</v>
      </c>
      <c r="E139" s="146">
        <v>166</v>
      </c>
      <c r="F139" s="109">
        <v>166</v>
      </c>
      <c r="G139" s="147">
        <v>153</v>
      </c>
      <c r="H139" s="146">
        <v>196</v>
      </c>
      <c r="I139" s="109">
        <v>225</v>
      </c>
      <c r="J139" s="147">
        <v>184</v>
      </c>
      <c r="K139" s="146">
        <f>68+221</f>
        <v>289</v>
      </c>
      <c r="L139" s="109">
        <v>249</v>
      </c>
      <c r="M139" s="147">
        <v>231</v>
      </c>
      <c r="N139" s="209">
        <f t="shared" ref="N139:N141" si="221">SUM(B139:M139)</f>
        <v>2457</v>
      </c>
    </row>
    <row r="140" spans="1:14" x14ac:dyDescent="0.2">
      <c r="A140" s="103" t="s">
        <v>55</v>
      </c>
      <c r="B140" s="146">
        <v>142</v>
      </c>
      <c r="C140" s="109">
        <v>126</v>
      </c>
      <c r="D140" s="147">
        <v>141</v>
      </c>
      <c r="E140" s="146">
        <v>142</v>
      </c>
      <c r="F140" s="109">
        <v>169</v>
      </c>
      <c r="G140" s="147">
        <v>136</v>
      </c>
      <c r="H140" s="146">
        <v>176</v>
      </c>
      <c r="I140" s="109">
        <v>195</v>
      </c>
      <c r="J140" s="147">
        <v>185</v>
      </c>
      <c r="K140" s="146">
        <f>53+155</f>
        <v>208</v>
      </c>
      <c r="L140" s="109">
        <v>182</v>
      </c>
      <c r="M140" s="147">
        <v>177</v>
      </c>
      <c r="N140" s="209">
        <f t="shared" si="221"/>
        <v>1979</v>
      </c>
    </row>
    <row r="141" spans="1:14" x14ac:dyDescent="0.2">
      <c r="A141" s="106" t="s">
        <v>24</v>
      </c>
      <c r="B141" s="177">
        <f t="shared" ref="B141:H141" si="222">SUM(B138:B140)</f>
        <v>556</v>
      </c>
      <c r="C141" s="175">
        <f t="shared" si="222"/>
        <v>542</v>
      </c>
      <c r="D141" s="176">
        <f t="shared" si="222"/>
        <v>524</v>
      </c>
      <c r="E141" s="177">
        <f t="shared" si="222"/>
        <v>533</v>
      </c>
      <c r="F141" s="175">
        <f t="shared" si="222"/>
        <v>571</v>
      </c>
      <c r="G141" s="176">
        <f t="shared" si="222"/>
        <v>568</v>
      </c>
      <c r="H141" s="177">
        <f t="shared" si="222"/>
        <v>643</v>
      </c>
      <c r="I141" s="175">
        <f>SUM(I138:I140)</f>
        <v>712</v>
      </c>
      <c r="J141" s="176">
        <f>SUM(J138:J140)</f>
        <v>628</v>
      </c>
      <c r="K141" s="177">
        <f>SUM(K138:K140)</f>
        <v>791</v>
      </c>
      <c r="L141" s="177">
        <f>SUM(L138:L140)</f>
        <v>688</v>
      </c>
      <c r="M141" s="177">
        <f>SUM(M138:M140)</f>
        <v>610</v>
      </c>
      <c r="N141" s="208">
        <f t="shared" si="221"/>
        <v>7366</v>
      </c>
    </row>
    <row r="142" spans="1:14" x14ac:dyDescent="0.2">
      <c r="A142" s="99" t="s">
        <v>17</v>
      </c>
      <c r="B142" s="356">
        <v>45658</v>
      </c>
      <c r="C142" s="357">
        <v>45689</v>
      </c>
      <c r="D142" s="358">
        <v>45717</v>
      </c>
      <c r="E142" s="356">
        <v>45748</v>
      </c>
      <c r="F142" s="357">
        <v>45778</v>
      </c>
      <c r="G142" s="358">
        <v>45809</v>
      </c>
      <c r="H142" s="356">
        <v>45839</v>
      </c>
      <c r="I142" s="357">
        <v>45870</v>
      </c>
      <c r="J142" s="358">
        <v>45901</v>
      </c>
      <c r="K142" s="356">
        <v>45931</v>
      </c>
      <c r="L142" s="357">
        <v>45962</v>
      </c>
      <c r="M142" s="358">
        <v>45992</v>
      </c>
      <c r="N142" s="199"/>
    </row>
    <row r="143" spans="1:14" x14ac:dyDescent="0.2">
      <c r="A143" s="105" t="s">
        <v>71</v>
      </c>
      <c r="B143" s="360">
        <f t="shared" ref="B143:G143" si="223">B138/B$141</f>
        <v>0.37410071942446044</v>
      </c>
      <c r="C143" s="361">
        <f t="shared" si="223"/>
        <v>0.37638376383763839</v>
      </c>
      <c r="D143" s="362">
        <f t="shared" si="223"/>
        <v>0.38740458015267176</v>
      </c>
      <c r="E143" s="360">
        <f t="shared" si="223"/>
        <v>0.42213883677298314</v>
      </c>
      <c r="F143" s="361">
        <f t="shared" si="223"/>
        <v>0.41330998248686512</v>
      </c>
      <c r="G143" s="362">
        <f t="shared" si="223"/>
        <v>0.49119718309859156</v>
      </c>
      <c r="H143" s="360">
        <f t="shared" ref="H143" si="224">H138/H$141</f>
        <v>0.42146189735614309</v>
      </c>
      <c r="I143" s="361">
        <f t="shared" ref="I143:L145" si="225">I138/I$141</f>
        <v>0.4101123595505618</v>
      </c>
      <c r="J143" s="362">
        <f t="shared" si="225"/>
        <v>0.41242038216560511</v>
      </c>
      <c r="K143" s="363">
        <f t="shared" si="225"/>
        <v>0.37168141592920356</v>
      </c>
      <c r="L143" s="363">
        <f t="shared" si="225"/>
        <v>0.37354651162790697</v>
      </c>
      <c r="M143" s="363">
        <f t="shared" ref="M143" si="226">M138/M$141</f>
        <v>0.33114754098360655</v>
      </c>
      <c r="N143" s="384">
        <f>N138/$N$141</f>
        <v>0.39777355416779797</v>
      </c>
    </row>
    <row r="144" spans="1:14" x14ac:dyDescent="0.2">
      <c r="A144" s="103" t="s">
        <v>72</v>
      </c>
      <c r="B144" s="172">
        <f t="shared" ref="B144:C145" si="227">B139/B$141</f>
        <v>0.37050359712230213</v>
      </c>
      <c r="C144" s="170">
        <f t="shared" si="227"/>
        <v>0.39114391143911437</v>
      </c>
      <c r="D144" s="171">
        <f t="shared" ref="D144:E144" si="228">D139/D$141</f>
        <v>0.34351145038167941</v>
      </c>
      <c r="E144" s="172">
        <f t="shared" si="228"/>
        <v>0.31144465290806755</v>
      </c>
      <c r="F144" s="170">
        <f t="shared" ref="F144:G144" si="229">F139/F$141</f>
        <v>0.29071803852889666</v>
      </c>
      <c r="G144" s="171">
        <f t="shared" si="229"/>
        <v>0.26936619718309857</v>
      </c>
      <c r="H144" s="172">
        <f t="shared" ref="H144" si="230">H139/H$141</f>
        <v>0.30482115085536549</v>
      </c>
      <c r="I144" s="170">
        <f t="shared" si="225"/>
        <v>0.3160112359550562</v>
      </c>
      <c r="J144" s="171">
        <f t="shared" si="225"/>
        <v>0.2929936305732484</v>
      </c>
      <c r="K144" s="364">
        <f t="shared" si="225"/>
        <v>0.36536030341340076</v>
      </c>
      <c r="L144" s="364">
        <f t="shared" si="225"/>
        <v>0.36191860465116277</v>
      </c>
      <c r="M144" s="364">
        <f t="shared" ref="M144" si="231">M139/M$141</f>
        <v>0.37868852459016394</v>
      </c>
      <c r="N144" s="384">
        <f t="shared" ref="N144:N145" si="232">N139/$N$141</f>
        <v>0.33355959815367908</v>
      </c>
    </row>
    <row r="145" spans="1:14" x14ac:dyDescent="0.2">
      <c r="A145" s="107" t="s">
        <v>55</v>
      </c>
      <c r="B145" s="160">
        <f t="shared" si="227"/>
        <v>0.25539568345323743</v>
      </c>
      <c r="C145" s="158">
        <f t="shared" si="227"/>
        <v>0.23247232472324722</v>
      </c>
      <c r="D145" s="159">
        <f t="shared" ref="D145:E145" si="233">D140/D$141</f>
        <v>0.26908396946564883</v>
      </c>
      <c r="E145" s="160">
        <f t="shared" si="233"/>
        <v>0.26641651031894936</v>
      </c>
      <c r="F145" s="158">
        <f t="shared" ref="F145:G145" si="234">F140/F$141</f>
        <v>0.29597197898423816</v>
      </c>
      <c r="G145" s="159">
        <f t="shared" si="234"/>
        <v>0.23943661971830985</v>
      </c>
      <c r="H145" s="160">
        <f t="shared" ref="H145" si="235">H140/H$141</f>
        <v>0.27371695178849142</v>
      </c>
      <c r="I145" s="158">
        <f t="shared" si="225"/>
        <v>0.273876404494382</v>
      </c>
      <c r="J145" s="159">
        <f t="shared" si="225"/>
        <v>0.29458598726114649</v>
      </c>
      <c r="K145" s="233">
        <f t="shared" si="225"/>
        <v>0.26295828065739568</v>
      </c>
      <c r="L145" s="233">
        <f t="shared" si="225"/>
        <v>0.26453488372093026</v>
      </c>
      <c r="M145" s="233">
        <f t="shared" ref="M145" si="236">M140/M$141</f>
        <v>0.29016393442622951</v>
      </c>
      <c r="N145" s="384">
        <f t="shared" si="232"/>
        <v>0.26866684767852295</v>
      </c>
    </row>
    <row r="146" spans="1:14" x14ac:dyDescent="0.2">
      <c r="A146" s="270"/>
      <c r="B146" s="141"/>
      <c r="C146" s="142"/>
      <c r="D146" s="143"/>
      <c r="E146" s="141"/>
      <c r="F146" s="142"/>
      <c r="G146" s="143"/>
      <c r="H146" s="181"/>
      <c r="I146" s="182"/>
      <c r="J146" s="183"/>
      <c r="K146" s="141"/>
      <c r="L146" s="142"/>
      <c r="M146" s="143"/>
      <c r="N146" s="209"/>
    </row>
    <row r="147" spans="1:14" x14ac:dyDescent="0.2">
      <c r="A147" s="271"/>
      <c r="B147" s="129"/>
      <c r="C147" s="130"/>
      <c r="D147" s="131"/>
      <c r="E147" s="129"/>
      <c r="F147" s="130"/>
      <c r="G147" s="131"/>
      <c r="H147" s="258"/>
      <c r="I147" s="259"/>
      <c r="J147" s="260"/>
      <c r="K147" s="129"/>
      <c r="L147" s="130"/>
      <c r="M147" s="131"/>
      <c r="N147" s="355"/>
    </row>
    <row r="148" spans="1:14" x14ac:dyDescent="0.2">
      <c r="A148" s="99" t="s">
        <v>73</v>
      </c>
      <c r="B148" s="341">
        <v>45658</v>
      </c>
      <c r="C148" s="342">
        <v>45689</v>
      </c>
      <c r="D148" s="343">
        <v>45717</v>
      </c>
      <c r="E148" s="341">
        <v>45748</v>
      </c>
      <c r="F148" s="342">
        <v>45778</v>
      </c>
      <c r="G148" s="343">
        <v>45809</v>
      </c>
      <c r="H148" s="341">
        <v>45839</v>
      </c>
      <c r="I148" s="342">
        <v>45870</v>
      </c>
      <c r="J148" s="343">
        <v>45901</v>
      </c>
      <c r="K148" s="341">
        <v>45931</v>
      </c>
      <c r="L148" s="342">
        <v>45962</v>
      </c>
      <c r="M148" s="343">
        <v>45992</v>
      </c>
      <c r="N148" s="199" t="s">
        <v>7</v>
      </c>
    </row>
    <row r="149" spans="1:14" x14ac:dyDescent="0.2">
      <c r="A149" s="105" t="s">
        <v>72</v>
      </c>
      <c r="B149" s="347">
        <v>407</v>
      </c>
      <c r="C149" s="348">
        <v>377</v>
      </c>
      <c r="D149" s="349">
        <v>344</v>
      </c>
      <c r="E149" s="347">
        <v>363</v>
      </c>
      <c r="F149" s="348">
        <v>362</v>
      </c>
      <c r="G149" s="349">
        <v>372</v>
      </c>
      <c r="H149" s="347">
        <v>431</v>
      </c>
      <c r="I149" s="348">
        <v>436</v>
      </c>
      <c r="J149" s="349">
        <v>378</v>
      </c>
      <c r="K149" s="347">
        <f>124+371</f>
        <v>495</v>
      </c>
      <c r="L149" s="348">
        <v>434</v>
      </c>
      <c r="M149" s="349">
        <v>400</v>
      </c>
      <c r="N149" s="209">
        <f>SUM(B149:M149)</f>
        <v>4799</v>
      </c>
    </row>
    <row r="150" spans="1:14" x14ac:dyDescent="0.2">
      <c r="A150" s="103" t="s">
        <v>71</v>
      </c>
      <c r="B150" s="146">
        <v>20</v>
      </c>
      <c r="C150" s="109">
        <v>35</v>
      </c>
      <c r="D150" s="147">
        <v>29</v>
      </c>
      <c r="E150" s="146">
        <v>35</v>
      </c>
      <c r="F150" s="109">
        <v>32</v>
      </c>
      <c r="G150" s="147">
        <v>28</v>
      </c>
      <c r="H150" s="146">
        <v>27</v>
      </c>
      <c r="I150" s="109">
        <v>45</v>
      </c>
      <c r="J150" s="147">
        <v>41</v>
      </c>
      <c r="K150" s="146">
        <f>27+36</f>
        <v>63</v>
      </c>
      <c r="L150" s="109">
        <v>55</v>
      </c>
      <c r="M150" s="147">
        <v>36</v>
      </c>
      <c r="N150" s="209">
        <f t="shared" ref="N150:N152" si="237">SUM(B150:M150)</f>
        <v>446</v>
      </c>
    </row>
    <row r="151" spans="1:14" x14ac:dyDescent="0.2">
      <c r="A151" s="103" t="s">
        <v>74</v>
      </c>
      <c r="B151" s="146">
        <v>129</v>
      </c>
      <c r="C151" s="109">
        <v>130</v>
      </c>
      <c r="D151" s="147">
        <v>151</v>
      </c>
      <c r="E151" s="146">
        <v>135</v>
      </c>
      <c r="F151" s="109">
        <v>177</v>
      </c>
      <c r="G151" s="147">
        <v>168</v>
      </c>
      <c r="H151" s="146">
        <v>185</v>
      </c>
      <c r="I151" s="109">
        <v>231</v>
      </c>
      <c r="J151" s="147">
        <v>209</v>
      </c>
      <c r="K151" s="146">
        <f>66+167</f>
        <v>233</v>
      </c>
      <c r="L151" s="109">
        <v>199</v>
      </c>
      <c r="M151" s="147">
        <v>174</v>
      </c>
      <c r="N151" s="209">
        <f t="shared" si="237"/>
        <v>2121</v>
      </c>
    </row>
    <row r="152" spans="1:14" x14ac:dyDescent="0.2">
      <c r="A152" s="106" t="s">
        <v>24</v>
      </c>
      <c r="B152" s="177">
        <f t="shared" ref="B152:H152" si="238">SUM(B149:B151)</f>
        <v>556</v>
      </c>
      <c r="C152" s="175">
        <f t="shared" si="238"/>
        <v>542</v>
      </c>
      <c r="D152" s="176">
        <f t="shared" si="238"/>
        <v>524</v>
      </c>
      <c r="E152" s="177">
        <f t="shared" si="238"/>
        <v>533</v>
      </c>
      <c r="F152" s="175">
        <f t="shared" si="238"/>
        <v>571</v>
      </c>
      <c r="G152" s="176">
        <f t="shared" si="238"/>
        <v>568</v>
      </c>
      <c r="H152" s="177">
        <f t="shared" si="238"/>
        <v>643</v>
      </c>
      <c r="I152" s="175">
        <f>SUM(I149:I151)</f>
        <v>712</v>
      </c>
      <c r="J152" s="176">
        <f>SUM(J149:J151)</f>
        <v>628</v>
      </c>
      <c r="K152" s="177">
        <f>SUM(K149:K151)</f>
        <v>791</v>
      </c>
      <c r="L152" s="177">
        <f>SUM(L149:L151)</f>
        <v>688</v>
      </c>
      <c r="M152" s="177">
        <f>SUM(M149:M151)</f>
        <v>610</v>
      </c>
      <c r="N152" s="208">
        <f t="shared" si="237"/>
        <v>7366</v>
      </c>
    </row>
    <row r="153" spans="1:14" x14ac:dyDescent="0.2">
      <c r="A153" s="99" t="s">
        <v>17</v>
      </c>
      <c r="B153" s="356">
        <v>45658</v>
      </c>
      <c r="C153" s="357">
        <v>45689</v>
      </c>
      <c r="D153" s="358">
        <v>45717</v>
      </c>
      <c r="E153" s="356">
        <v>45748</v>
      </c>
      <c r="F153" s="357">
        <v>45778</v>
      </c>
      <c r="G153" s="358">
        <v>45809</v>
      </c>
      <c r="H153" s="356">
        <v>45839</v>
      </c>
      <c r="I153" s="357">
        <v>45870</v>
      </c>
      <c r="J153" s="358">
        <v>45901</v>
      </c>
      <c r="K153" s="356">
        <v>45931</v>
      </c>
      <c r="L153" s="357">
        <v>45962</v>
      </c>
      <c r="M153" s="358">
        <v>45992</v>
      </c>
      <c r="N153" s="199"/>
    </row>
    <row r="154" spans="1:14" x14ac:dyDescent="0.2">
      <c r="A154" s="105" t="s">
        <v>72</v>
      </c>
      <c r="B154" s="360">
        <f t="shared" ref="B154:G154" si="239">B149/B$152</f>
        <v>0.73201438848920863</v>
      </c>
      <c r="C154" s="361">
        <f t="shared" si="239"/>
        <v>0.69557195571955721</v>
      </c>
      <c r="D154" s="362">
        <f t="shared" si="239"/>
        <v>0.65648854961832059</v>
      </c>
      <c r="E154" s="360">
        <f t="shared" si="239"/>
        <v>0.68105065666041276</v>
      </c>
      <c r="F154" s="361">
        <f t="shared" si="239"/>
        <v>0.63397548161120842</v>
      </c>
      <c r="G154" s="362">
        <f t="shared" si="239"/>
        <v>0.65492957746478875</v>
      </c>
      <c r="H154" s="360">
        <f t="shared" ref="H154:I156" si="240">H149/H$152</f>
        <v>0.6702954898911353</v>
      </c>
      <c r="I154" s="361">
        <f t="shared" si="240"/>
        <v>0.61235955056179781</v>
      </c>
      <c r="J154" s="362">
        <f t="shared" ref="J154:K154" si="241">J149/J$152</f>
        <v>0.60191082802547768</v>
      </c>
      <c r="K154" s="363">
        <f t="shared" si="241"/>
        <v>0.62579013906447534</v>
      </c>
      <c r="L154" s="363">
        <f t="shared" ref="L154:M154" si="242">L149/L$152</f>
        <v>0.6308139534883721</v>
      </c>
      <c r="M154" s="363">
        <f t="shared" si="242"/>
        <v>0.65573770491803274</v>
      </c>
      <c r="N154" s="384">
        <f>N149/$N$152</f>
        <v>0.65150692370350261</v>
      </c>
    </row>
    <row r="155" spans="1:14" x14ac:dyDescent="0.2">
      <c r="A155" s="103" t="s">
        <v>71</v>
      </c>
      <c r="B155" s="172">
        <f t="shared" ref="B155:C156" si="243">B150/B$152</f>
        <v>3.5971223021582732E-2</v>
      </c>
      <c r="C155" s="170">
        <f t="shared" si="243"/>
        <v>6.4575645756457564E-2</v>
      </c>
      <c r="D155" s="171">
        <f t="shared" ref="D155:E155" si="244">D150/D$152</f>
        <v>5.5343511450381681E-2</v>
      </c>
      <c r="E155" s="172">
        <f t="shared" si="244"/>
        <v>6.5666041275797379E-2</v>
      </c>
      <c r="F155" s="170">
        <f t="shared" ref="F155:G155" si="245">F150/F$152</f>
        <v>5.6042031523642732E-2</v>
      </c>
      <c r="G155" s="171">
        <f t="shared" si="245"/>
        <v>4.9295774647887321E-2</v>
      </c>
      <c r="H155" s="172">
        <f t="shared" si="240"/>
        <v>4.1990668740279936E-2</v>
      </c>
      <c r="I155" s="170">
        <f t="shared" si="240"/>
        <v>6.3202247191011238E-2</v>
      </c>
      <c r="J155" s="171">
        <f t="shared" ref="J155:K155" si="246">J150/J$152</f>
        <v>6.5286624203821655E-2</v>
      </c>
      <c r="K155" s="364">
        <f t="shared" si="246"/>
        <v>7.9646017699115043E-2</v>
      </c>
      <c r="L155" s="364">
        <f t="shared" ref="L155:M155" si="247">L150/L$152</f>
        <v>7.9941860465116282E-2</v>
      </c>
      <c r="M155" s="364">
        <f t="shared" si="247"/>
        <v>5.9016393442622953E-2</v>
      </c>
      <c r="N155" s="384">
        <f t="shared" ref="N155:N156" si="248">N150/$N$152</f>
        <v>6.0548465924518055E-2</v>
      </c>
    </row>
    <row r="156" spans="1:14" x14ac:dyDescent="0.2">
      <c r="A156" s="107" t="s">
        <v>74</v>
      </c>
      <c r="B156" s="160">
        <f t="shared" si="243"/>
        <v>0.23201438848920863</v>
      </c>
      <c r="C156" s="158">
        <f t="shared" si="243"/>
        <v>0.23985239852398524</v>
      </c>
      <c r="D156" s="159">
        <f t="shared" ref="D156:E156" si="249">D151/D$152</f>
        <v>0.28816793893129772</v>
      </c>
      <c r="E156" s="160">
        <f t="shared" si="249"/>
        <v>0.25328330206378985</v>
      </c>
      <c r="F156" s="158">
        <f t="shared" ref="F156:G156" si="250">F151/F$152</f>
        <v>0.30998248686514884</v>
      </c>
      <c r="G156" s="159">
        <f t="shared" si="250"/>
        <v>0.29577464788732394</v>
      </c>
      <c r="H156" s="160">
        <f t="shared" si="240"/>
        <v>0.28771384136858474</v>
      </c>
      <c r="I156" s="158">
        <f t="shared" si="240"/>
        <v>0.324438202247191</v>
      </c>
      <c r="J156" s="159">
        <f t="shared" ref="J156:K156" si="251">J151/J$152</f>
        <v>0.33280254777070062</v>
      </c>
      <c r="K156" s="233">
        <f t="shared" si="251"/>
        <v>0.29456384323640961</v>
      </c>
      <c r="L156" s="233">
        <f t="shared" ref="L156:M156" si="252">L151/L$152</f>
        <v>0.28924418604651164</v>
      </c>
      <c r="M156" s="233">
        <f t="shared" si="252"/>
        <v>0.28524590163934427</v>
      </c>
      <c r="N156" s="384">
        <f t="shared" si="248"/>
        <v>0.28794461037197938</v>
      </c>
    </row>
    <row r="157" spans="1:14" x14ac:dyDescent="0.2">
      <c r="A157" s="105"/>
      <c r="B157" s="229"/>
      <c r="C157" s="144"/>
      <c r="D157" s="143"/>
      <c r="E157" s="141"/>
      <c r="F157" s="142"/>
      <c r="G157" s="143"/>
      <c r="H157" s="181"/>
      <c r="I157" s="182"/>
      <c r="J157" s="183"/>
      <c r="K157" s="141"/>
      <c r="L157" s="142"/>
      <c r="M157" s="143"/>
      <c r="N157" s="209"/>
    </row>
    <row r="158" spans="1:14" x14ac:dyDescent="0.2">
      <c r="A158" s="106"/>
      <c r="B158" s="312"/>
      <c r="C158" s="313"/>
      <c r="D158" s="131"/>
      <c r="E158" s="129"/>
      <c r="F158" s="130"/>
      <c r="G158" s="131"/>
      <c r="H158" s="258"/>
      <c r="I158" s="259"/>
      <c r="J158" s="260"/>
      <c r="K158" s="129"/>
      <c r="L158" s="130"/>
      <c r="M158" s="131"/>
      <c r="N158" s="355"/>
    </row>
    <row r="159" spans="1:14" x14ac:dyDescent="0.2">
      <c r="A159" s="99" t="s">
        <v>75</v>
      </c>
      <c r="B159" s="120">
        <v>45658</v>
      </c>
      <c r="C159" s="121">
        <v>45689</v>
      </c>
      <c r="D159" s="122">
        <v>45717</v>
      </c>
      <c r="E159" s="120">
        <v>45748</v>
      </c>
      <c r="F159" s="121">
        <v>45778</v>
      </c>
      <c r="G159" s="122">
        <v>45809</v>
      </c>
      <c r="H159" s="120">
        <v>45839</v>
      </c>
      <c r="I159" s="121">
        <v>45870</v>
      </c>
      <c r="J159" s="122">
        <v>45901</v>
      </c>
      <c r="K159" s="120">
        <v>45931</v>
      </c>
      <c r="L159" s="121">
        <v>45962</v>
      </c>
      <c r="M159" s="122">
        <v>45992</v>
      </c>
      <c r="N159" s="336" t="s">
        <v>7</v>
      </c>
    </row>
    <row r="160" spans="1:14" x14ac:dyDescent="0.2">
      <c r="A160" s="105" t="s">
        <v>72</v>
      </c>
      <c r="B160" s="141">
        <v>85</v>
      </c>
      <c r="C160" s="142">
        <v>105</v>
      </c>
      <c r="D160" s="143">
        <v>77</v>
      </c>
      <c r="E160" s="141">
        <v>90</v>
      </c>
      <c r="F160" s="142">
        <v>92</v>
      </c>
      <c r="G160" s="143">
        <v>132</v>
      </c>
      <c r="H160" s="141">
        <v>140</v>
      </c>
      <c r="I160" s="142">
        <v>141</v>
      </c>
      <c r="J160" s="143">
        <v>118</v>
      </c>
      <c r="K160" s="141">
        <f>30+104</f>
        <v>134</v>
      </c>
      <c r="L160" s="142">
        <v>118</v>
      </c>
      <c r="M160" s="143">
        <v>117</v>
      </c>
      <c r="N160" s="209">
        <f>SUM(B160:M160)</f>
        <v>1349</v>
      </c>
    </row>
    <row r="161" spans="1:14" x14ac:dyDescent="0.2">
      <c r="A161" s="103" t="s">
        <v>71</v>
      </c>
      <c r="B161" s="146">
        <v>471</v>
      </c>
      <c r="C161" s="109">
        <v>437</v>
      </c>
      <c r="D161" s="147">
        <v>447</v>
      </c>
      <c r="E161" s="146">
        <v>443</v>
      </c>
      <c r="F161" s="109">
        <v>479</v>
      </c>
      <c r="G161" s="147">
        <v>436</v>
      </c>
      <c r="H161" s="146">
        <v>503</v>
      </c>
      <c r="I161" s="109">
        <v>571</v>
      </c>
      <c r="J161" s="147">
        <v>510</v>
      </c>
      <c r="K161" s="146">
        <f>187+470</f>
        <v>657</v>
      </c>
      <c r="L161" s="109">
        <v>570</v>
      </c>
      <c r="M161" s="147">
        <v>493</v>
      </c>
      <c r="N161" s="214">
        <f>SUM(B161:M161)</f>
        <v>6017</v>
      </c>
    </row>
    <row r="162" spans="1:14" x14ac:dyDescent="0.2">
      <c r="A162" s="106" t="s">
        <v>31</v>
      </c>
      <c r="B162" s="129"/>
      <c r="C162" s="130"/>
      <c r="D162" s="131"/>
      <c r="E162" s="129"/>
      <c r="F162" s="130"/>
      <c r="G162" s="131"/>
      <c r="H162" s="258"/>
      <c r="I162" s="259"/>
      <c r="J162" s="260"/>
      <c r="K162" s="129"/>
      <c r="L162" s="130"/>
      <c r="M162" s="131"/>
      <c r="N162" s="355"/>
    </row>
    <row r="163" spans="1:14" x14ac:dyDescent="0.2">
      <c r="A163" s="99" t="s">
        <v>24</v>
      </c>
      <c r="B163" s="139">
        <f t="shared" ref="B163:H163" si="253">SUM(B160:B162)</f>
        <v>556</v>
      </c>
      <c r="C163" s="137">
        <f t="shared" si="253"/>
        <v>542</v>
      </c>
      <c r="D163" s="138">
        <f t="shared" si="253"/>
        <v>524</v>
      </c>
      <c r="E163" s="139">
        <f t="shared" si="253"/>
        <v>533</v>
      </c>
      <c r="F163" s="137">
        <f t="shared" si="253"/>
        <v>571</v>
      </c>
      <c r="G163" s="138">
        <f t="shared" si="253"/>
        <v>568</v>
      </c>
      <c r="H163" s="139">
        <f t="shared" si="253"/>
        <v>643</v>
      </c>
      <c r="I163" s="137">
        <f>SUM(I160:I162)</f>
        <v>712</v>
      </c>
      <c r="J163" s="138">
        <f>SUM(J160:J162)</f>
        <v>628</v>
      </c>
      <c r="K163" s="139">
        <f>SUM(K160:K162)</f>
        <v>791</v>
      </c>
      <c r="L163" s="139">
        <f>SUM(L160:L162)</f>
        <v>688</v>
      </c>
      <c r="M163" s="139">
        <f>SUM(M160:M162)</f>
        <v>610</v>
      </c>
      <c r="N163" s="199">
        <f>SUM(B163:M163)</f>
        <v>7366</v>
      </c>
    </row>
    <row r="164" spans="1:14" x14ac:dyDescent="0.2">
      <c r="A164" s="98" t="s">
        <v>92</v>
      </c>
      <c r="B164" s="216">
        <v>45658</v>
      </c>
      <c r="C164" s="217">
        <v>45689</v>
      </c>
      <c r="D164" s="218">
        <v>45717</v>
      </c>
      <c r="E164" s="216">
        <v>45748</v>
      </c>
      <c r="F164" s="217">
        <v>45778</v>
      </c>
      <c r="G164" s="218">
        <v>45809</v>
      </c>
      <c r="H164" s="216">
        <v>45839</v>
      </c>
      <c r="I164" s="217">
        <v>45870</v>
      </c>
      <c r="J164" s="218">
        <v>45901</v>
      </c>
      <c r="K164" s="216">
        <v>45931</v>
      </c>
      <c r="L164" s="217">
        <v>45962</v>
      </c>
      <c r="M164" s="218">
        <v>45992</v>
      </c>
      <c r="N164" s="373"/>
    </row>
    <row r="165" spans="1:14" x14ac:dyDescent="0.2">
      <c r="A165" s="105" t="s">
        <v>72</v>
      </c>
      <c r="B165" s="229">
        <f t="shared" ref="B165:D166" si="254">B160/B$163</f>
        <v>0.15287769784172661</v>
      </c>
      <c r="C165" s="144">
        <f t="shared" si="254"/>
        <v>0.19372693726937271</v>
      </c>
      <c r="D165" s="230">
        <f t="shared" si="254"/>
        <v>0.14694656488549618</v>
      </c>
      <c r="E165" s="229">
        <f t="shared" ref="E165:F165" si="255">E160/E$163</f>
        <v>0.16885553470919323</v>
      </c>
      <c r="F165" s="144">
        <f t="shared" si="255"/>
        <v>0.16112084063047286</v>
      </c>
      <c r="G165" s="230">
        <f t="shared" ref="G165:H165" si="256">G160/G$163</f>
        <v>0.23239436619718309</v>
      </c>
      <c r="H165" s="229">
        <f t="shared" si="256"/>
        <v>0.2177293934681182</v>
      </c>
      <c r="I165" s="144">
        <f t="shared" ref="I165:L166" si="257">I160/I$163</f>
        <v>0.19803370786516855</v>
      </c>
      <c r="J165" s="230">
        <f t="shared" si="257"/>
        <v>0.18789808917197454</v>
      </c>
      <c r="K165" s="309">
        <f t="shared" si="257"/>
        <v>0.16940581542351454</v>
      </c>
      <c r="L165" s="309">
        <f t="shared" si="257"/>
        <v>0.17151162790697674</v>
      </c>
      <c r="M165" s="309">
        <f t="shared" ref="M165" si="258">M160/M$163</f>
        <v>0.19180327868852459</v>
      </c>
      <c r="N165" s="384">
        <f>N160/$N$163</f>
        <v>0.18313874558783599</v>
      </c>
    </row>
    <row r="166" spans="1:14" x14ac:dyDescent="0.2">
      <c r="A166" s="103" t="s">
        <v>71</v>
      </c>
      <c r="B166" s="172">
        <f t="shared" si="254"/>
        <v>0.84712230215827333</v>
      </c>
      <c r="C166" s="170">
        <f t="shared" si="254"/>
        <v>0.80627306273062727</v>
      </c>
      <c r="D166" s="171">
        <f t="shared" si="254"/>
        <v>0.85305343511450382</v>
      </c>
      <c r="E166" s="172">
        <f t="shared" ref="E166:F166" si="259">E161/E$163</f>
        <v>0.83114446529080677</v>
      </c>
      <c r="F166" s="170">
        <f t="shared" si="259"/>
        <v>0.83887915936952717</v>
      </c>
      <c r="G166" s="171">
        <f t="shared" ref="G166:H166" si="260">G161/G$163</f>
        <v>0.76760563380281688</v>
      </c>
      <c r="H166" s="172">
        <f t="shared" si="260"/>
        <v>0.78227060653188185</v>
      </c>
      <c r="I166" s="170">
        <f t="shared" si="257"/>
        <v>0.8019662921348315</v>
      </c>
      <c r="J166" s="171">
        <f t="shared" si="257"/>
        <v>0.81210191082802552</v>
      </c>
      <c r="K166" s="364">
        <f t="shared" si="257"/>
        <v>0.83059418457648548</v>
      </c>
      <c r="L166" s="364">
        <f t="shared" si="257"/>
        <v>0.82848837209302328</v>
      </c>
      <c r="M166" s="364">
        <f t="shared" ref="M166" si="261">M161/M$163</f>
        <v>0.80819672131147546</v>
      </c>
      <c r="N166" s="384">
        <f>N161/$N$163</f>
        <v>0.81686125441216395</v>
      </c>
    </row>
    <row r="167" spans="1:14" x14ac:dyDescent="0.2">
      <c r="A167" s="103" t="s">
        <v>31</v>
      </c>
      <c r="B167" s="172"/>
      <c r="C167" s="170"/>
      <c r="D167" s="171"/>
      <c r="E167" s="172"/>
      <c r="F167" s="170"/>
      <c r="G167" s="171"/>
      <c r="H167" s="172"/>
      <c r="I167" s="170"/>
      <c r="J167" s="171"/>
      <c r="K167" s="364"/>
      <c r="L167" s="366"/>
      <c r="M167" s="367"/>
      <c r="N167" s="214"/>
    </row>
    <row r="168" spans="1:14" x14ac:dyDescent="0.2">
      <c r="A168" s="106" t="s">
        <v>14</v>
      </c>
      <c r="B168" s="155"/>
      <c r="C168" s="156"/>
      <c r="D168" s="157"/>
      <c r="E168" s="155"/>
      <c r="F168" s="156"/>
      <c r="G168" s="157"/>
      <c r="H168" s="155"/>
      <c r="I168" s="156"/>
      <c r="J168" s="157"/>
      <c r="K168" s="155"/>
      <c r="L168" s="156"/>
      <c r="M168" s="157"/>
      <c r="N168" s="355"/>
    </row>
    <row r="169" spans="1:14" x14ac:dyDescent="0.2">
      <c r="A169" s="99" t="s">
        <v>76</v>
      </c>
      <c r="B169" s="374">
        <f t="shared" ref="B169:H169" si="262">B160/B$6</f>
        <v>2.7419354838709675</v>
      </c>
      <c r="C169" s="375">
        <f t="shared" si="262"/>
        <v>3.75</v>
      </c>
      <c r="D169" s="376">
        <f t="shared" si="262"/>
        <v>2.4838709677419355</v>
      </c>
      <c r="E169" s="374">
        <f t="shared" si="262"/>
        <v>3</v>
      </c>
      <c r="F169" s="375">
        <f t="shared" si="262"/>
        <v>3.0666666666666669</v>
      </c>
      <c r="G169" s="376">
        <f t="shared" si="262"/>
        <v>4.5517241379310347</v>
      </c>
      <c r="H169" s="374">
        <f t="shared" si="262"/>
        <v>4.5161290322580649</v>
      </c>
      <c r="I169" s="375">
        <f t="shared" ref="I169:N169" si="263">I160/I$6</f>
        <v>4.5483870967741939</v>
      </c>
      <c r="J169" s="376">
        <f t="shared" si="263"/>
        <v>3.9333333333333331</v>
      </c>
      <c r="K169" s="374">
        <f t="shared" si="263"/>
        <v>4.32258064516129</v>
      </c>
      <c r="L169" s="374">
        <f t="shared" si="263"/>
        <v>3.9333333333333331</v>
      </c>
      <c r="M169" s="390">
        <f t="shared" si="263"/>
        <v>3.774193548387097</v>
      </c>
      <c r="N169" s="389">
        <f t="shared" si="263"/>
        <v>3.7162534435261709</v>
      </c>
    </row>
    <row r="170" spans="1:14" x14ac:dyDescent="0.2">
      <c r="A170" s="44"/>
      <c r="B170" s="163"/>
      <c r="C170" s="164"/>
      <c r="D170" s="165"/>
      <c r="E170" s="163"/>
      <c r="F170" s="164"/>
      <c r="G170" s="165"/>
      <c r="H170" s="401"/>
      <c r="I170" s="402"/>
      <c r="J170" s="403"/>
      <c r="K170" s="163"/>
      <c r="L170" s="164"/>
      <c r="M170" s="165"/>
      <c r="N170" s="337"/>
    </row>
    <row r="171" spans="1:14" x14ac:dyDescent="0.2">
      <c r="A171" s="99" t="s">
        <v>77</v>
      </c>
      <c r="B171" s="341">
        <v>45658</v>
      </c>
      <c r="C171" s="342">
        <v>45689</v>
      </c>
      <c r="D171" s="343">
        <v>45717</v>
      </c>
      <c r="E171" s="341">
        <v>45748</v>
      </c>
      <c r="F171" s="342">
        <v>45778</v>
      </c>
      <c r="G171" s="343">
        <v>45809</v>
      </c>
      <c r="H171" s="341">
        <v>45839</v>
      </c>
      <c r="I171" s="342">
        <v>45870</v>
      </c>
      <c r="J171" s="343">
        <v>45901</v>
      </c>
      <c r="K171" s="341">
        <v>45931</v>
      </c>
      <c r="L171" s="342">
        <v>45962</v>
      </c>
      <c r="M171" s="343">
        <v>45992</v>
      </c>
      <c r="N171" s="199" t="s">
        <v>7</v>
      </c>
    </row>
    <row r="172" spans="1:14" x14ac:dyDescent="0.2">
      <c r="A172" s="105" t="s">
        <v>72</v>
      </c>
      <c r="B172" s="347">
        <v>307</v>
      </c>
      <c r="C172" s="348">
        <v>252</v>
      </c>
      <c r="D172" s="349">
        <v>220</v>
      </c>
      <c r="E172" s="347">
        <v>207</v>
      </c>
      <c r="F172" s="348">
        <v>244</v>
      </c>
      <c r="G172" s="349">
        <v>275</v>
      </c>
      <c r="H172" s="347">
        <v>301</v>
      </c>
      <c r="I172" s="348">
        <v>346</v>
      </c>
      <c r="J172" s="349">
        <v>234</v>
      </c>
      <c r="K172" s="347">
        <f>75+248</f>
        <v>323</v>
      </c>
      <c r="L172" s="348">
        <v>308</v>
      </c>
      <c r="M172" s="349">
        <v>275</v>
      </c>
      <c r="N172" s="209">
        <f>SUM(B172:M172)</f>
        <v>3292</v>
      </c>
    </row>
    <row r="173" spans="1:14" x14ac:dyDescent="0.2">
      <c r="A173" s="103" t="s">
        <v>71</v>
      </c>
      <c r="B173" s="146">
        <v>189</v>
      </c>
      <c r="C173" s="109">
        <v>217</v>
      </c>
      <c r="D173" s="147">
        <v>232</v>
      </c>
      <c r="E173" s="146">
        <v>275</v>
      </c>
      <c r="F173" s="109">
        <v>259</v>
      </c>
      <c r="G173" s="147">
        <v>239</v>
      </c>
      <c r="H173" s="146">
        <v>284</v>
      </c>
      <c r="I173" s="109">
        <v>278</v>
      </c>
      <c r="J173" s="147">
        <v>319</v>
      </c>
      <c r="K173" s="146">
        <f>124+261</f>
        <v>385</v>
      </c>
      <c r="L173" s="109">
        <v>283</v>
      </c>
      <c r="M173" s="147">
        <v>272</v>
      </c>
      <c r="N173" s="209">
        <f t="shared" ref="N173:N174" si="264">SUM(B173:M173)</f>
        <v>3232</v>
      </c>
    </row>
    <row r="174" spans="1:14" x14ac:dyDescent="0.2">
      <c r="A174" s="106" t="s">
        <v>31</v>
      </c>
      <c r="B174" s="155">
        <v>60</v>
      </c>
      <c r="C174" s="156">
        <v>73</v>
      </c>
      <c r="D174" s="157">
        <v>72</v>
      </c>
      <c r="E174" s="155">
        <v>51</v>
      </c>
      <c r="F174" s="156">
        <v>68</v>
      </c>
      <c r="G174" s="157">
        <v>54</v>
      </c>
      <c r="H174" s="155">
        <v>58</v>
      </c>
      <c r="I174" s="156">
        <v>88</v>
      </c>
      <c r="J174" s="157">
        <v>75</v>
      </c>
      <c r="K174" s="155">
        <f>21+62</f>
        <v>83</v>
      </c>
      <c r="L174" s="156">
        <v>97</v>
      </c>
      <c r="M174" s="157">
        <v>63</v>
      </c>
      <c r="N174" s="209">
        <f t="shared" si="264"/>
        <v>842</v>
      </c>
    </row>
    <row r="175" spans="1:14" x14ac:dyDescent="0.2">
      <c r="A175" s="99" t="s">
        <v>24</v>
      </c>
      <c r="B175" s="377">
        <f t="shared" ref="B175:H175" si="265">SUM(B172:B174)</f>
        <v>556</v>
      </c>
      <c r="C175" s="378">
        <f t="shared" si="265"/>
        <v>542</v>
      </c>
      <c r="D175" s="379">
        <f t="shared" si="265"/>
        <v>524</v>
      </c>
      <c r="E175" s="377">
        <f t="shared" si="265"/>
        <v>533</v>
      </c>
      <c r="F175" s="378">
        <f t="shared" si="265"/>
        <v>571</v>
      </c>
      <c r="G175" s="379">
        <f t="shared" si="265"/>
        <v>568</v>
      </c>
      <c r="H175" s="377">
        <f t="shared" si="265"/>
        <v>643</v>
      </c>
      <c r="I175" s="378">
        <f>SUM(I172:I174)</f>
        <v>712</v>
      </c>
      <c r="J175" s="379">
        <f>SUM(J172:J174)</f>
        <v>628</v>
      </c>
      <c r="K175" s="377">
        <f>SUM(K172:K174)</f>
        <v>791</v>
      </c>
      <c r="L175" s="377">
        <f>SUM(L172:L174)</f>
        <v>688</v>
      </c>
      <c r="M175" s="377">
        <f>SUM(M172:M174)</f>
        <v>610</v>
      </c>
      <c r="N175" s="208">
        <f>SUM(B175:M175)</f>
        <v>7366</v>
      </c>
    </row>
    <row r="176" spans="1:14" x14ac:dyDescent="0.2">
      <c r="A176" s="98" t="s">
        <v>92</v>
      </c>
      <c r="B176" s="356">
        <v>45658</v>
      </c>
      <c r="C176" s="357">
        <v>45689</v>
      </c>
      <c r="D176" s="358">
        <v>45717</v>
      </c>
      <c r="E176" s="356">
        <v>45748</v>
      </c>
      <c r="F176" s="357">
        <v>45778</v>
      </c>
      <c r="G176" s="358">
        <v>45809</v>
      </c>
      <c r="H176" s="356">
        <v>45839</v>
      </c>
      <c r="I176" s="357">
        <v>45870</v>
      </c>
      <c r="J176" s="358">
        <v>45901</v>
      </c>
      <c r="K176" s="356">
        <v>45931</v>
      </c>
      <c r="L176" s="357">
        <v>45962</v>
      </c>
      <c r="M176" s="358">
        <v>45992</v>
      </c>
      <c r="N176" s="380"/>
    </row>
    <row r="177" spans="1:14" x14ac:dyDescent="0.2">
      <c r="A177" s="105" t="s">
        <v>72</v>
      </c>
      <c r="B177" s="360">
        <f t="shared" ref="B177:G177" si="266">B172/B$175</f>
        <v>0.55215827338129497</v>
      </c>
      <c r="C177" s="361">
        <f t="shared" si="266"/>
        <v>0.46494464944649444</v>
      </c>
      <c r="D177" s="362">
        <f t="shared" si="266"/>
        <v>0.41984732824427479</v>
      </c>
      <c r="E177" s="360">
        <f t="shared" si="266"/>
        <v>0.38836772983114448</v>
      </c>
      <c r="F177" s="361">
        <f t="shared" si="266"/>
        <v>0.42732049036777581</v>
      </c>
      <c r="G177" s="362">
        <f t="shared" si="266"/>
        <v>0.48415492957746481</v>
      </c>
      <c r="H177" s="360">
        <f t="shared" ref="H177" si="267">H172/H$175</f>
        <v>0.4681181959564541</v>
      </c>
      <c r="I177" s="361">
        <f t="shared" ref="I177:L179" si="268">I172/I$175</f>
        <v>0.4859550561797753</v>
      </c>
      <c r="J177" s="362">
        <f t="shared" si="268"/>
        <v>0.37261146496815284</v>
      </c>
      <c r="K177" s="363">
        <f t="shared" si="268"/>
        <v>0.40834386852085969</v>
      </c>
      <c r="L177" s="363">
        <f t="shared" si="268"/>
        <v>0.44767441860465118</v>
      </c>
      <c r="M177" s="363">
        <f t="shared" ref="M177" si="269">M172/M$175</f>
        <v>0.45081967213114754</v>
      </c>
      <c r="N177" s="384">
        <f>N172/$N$175</f>
        <v>0.44691827314689114</v>
      </c>
    </row>
    <row r="178" spans="1:14" x14ac:dyDescent="0.2">
      <c r="A178" s="103" t="s">
        <v>71</v>
      </c>
      <c r="B178" s="172">
        <f t="shared" ref="B178:C179" si="270">B173/B$175</f>
        <v>0.33992805755395683</v>
      </c>
      <c r="C178" s="170">
        <f t="shared" si="270"/>
        <v>0.40036900369003692</v>
      </c>
      <c r="D178" s="171">
        <f t="shared" ref="D178:E178" si="271">D173/D$175</f>
        <v>0.44274809160305345</v>
      </c>
      <c r="E178" s="172">
        <f t="shared" si="271"/>
        <v>0.51594746716697937</v>
      </c>
      <c r="F178" s="170">
        <f t="shared" ref="F178:G178" si="272">F173/F$175</f>
        <v>0.45359019264448336</v>
      </c>
      <c r="G178" s="171">
        <f t="shared" si="272"/>
        <v>0.42077464788732394</v>
      </c>
      <c r="H178" s="172">
        <f t="shared" ref="H178" si="273">H173/H$175</f>
        <v>0.4416796267496112</v>
      </c>
      <c r="I178" s="170">
        <f t="shared" si="268"/>
        <v>0.3904494382022472</v>
      </c>
      <c r="J178" s="171">
        <f t="shared" si="268"/>
        <v>0.5079617834394905</v>
      </c>
      <c r="K178" s="364">
        <f t="shared" si="268"/>
        <v>0.48672566371681414</v>
      </c>
      <c r="L178" s="364">
        <f t="shared" si="268"/>
        <v>0.41133720930232559</v>
      </c>
      <c r="M178" s="364">
        <f t="shared" ref="M178" si="274">M173/M$175</f>
        <v>0.4459016393442623</v>
      </c>
      <c r="N178" s="384">
        <f t="shared" ref="N178:N179" si="275">N173/$N$175</f>
        <v>0.43877273961444474</v>
      </c>
    </row>
    <row r="179" spans="1:14" x14ac:dyDescent="0.2">
      <c r="A179" s="106" t="s">
        <v>31</v>
      </c>
      <c r="B179" s="312">
        <f t="shared" si="270"/>
        <v>0.1079136690647482</v>
      </c>
      <c r="C179" s="313">
        <f t="shared" si="270"/>
        <v>0.13468634686346864</v>
      </c>
      <c r="D179" s="381">
        <f t="shared" ref="D179:E179" si="276">D174/D$175</f>
        <v>0.13740458015267176</v>
      </c>
      <c r="E179" s="312">
        <f t="shared" si="276"/>
        <v>9.5684803001876179E-2</v>
      </c>
      <c r="F179" s="313">
        <f t="shared" ref="F179:G179" si="277">F174/F$175</f>
        <v>0.11908931698774081</v>
      </c>
      <c r="G179" s="381">
        <f t="shared" si="277"/>
        <v>9.5070422535211266E-2</v>
      </c>
      <c r="H179" s="312">
        <f t="shared" ref="H179" si="278">H174/H$175</f>
        <v>9.0202177293934677E-2</v>
      </c>
      <c r="I179" s="313">
        <f t="shared" si="268"/>
        <v>0.12359550561797752</v>
      </c>
      <c r="J179" s="381">
        <f t="shared" si="268"/>
        <v>0.11942675159235669</v>
      </c>
      <c r="K179" s="204">
        <f t="shared" si="268"/>
        <v>0.10493046776232617</v>
      </c>
      <c r="L179" s="204">
        <f t="shared" si="268"/>
        <v>0.14098837209302326</v>
      </c>
      <c r="M179" s="204">
        <f t="shared" ref="M179" si="279">M174/M$175</f>
        <v>0.10327868852459017</v>
      </c>
      <c r="N179" s="384">
        <f t="shared" si="275"/>
        <v>0.11430898723866413</v>
      </c>
    </row>
    <row r="180" spans="1:14" x14ac:dyDescent="0.2">
      <c r="A180" s="99" t="s">
        <v>14</v>
      </c>
      <c r="B180" s="341">
        <v>45658</v>
      </c>
      <c r="C180" s="342">
        <v>45689</v>
      </c>
      <c r="D180" s="343">
        <v>45717</v>
      </c>
      <c r="E180" s="341">
        <v>45748</v>
      </c>
      <c r="F180" s="342">
        <v>45778</v>
      </c>
      <c r="G180" s="343">
        <v>45809</v>
      </c>
      <c r="H180" s="341">
        <v>45839</v>
      </c>
      <c r="I180" s="342">
        <v>45870</v>
      </c>
      <c r="J180" s="343">
        <v>45901</v>
      </c>
      <c r="K180" s="341">
        <v>45931</v>
      </c>
      <c r="L180" s="342">
        <v>45962</v>
      </c>
      <c r="M180" s="343">
        <v>45992</v>
      </c>
      <c r="N180" s="199"/>
    </row>
    <row r="181" spans="1:14" x14ac:dyDescent="0.2">
      <c r="A181" s="98" t="s">
        <v>79</v>
      </c>
      <c r="B181" s="262">
        <f t="shared" ref="B181:H181" si="280">B$172/B$6</f>
        <v>9.9032258064516121</v>
      </c>
      <c r="C181" s="263">
        <f t="shared" si="280"/>
        <v>9</v>
      </c>
      <c r="D181" s="264">
        <f t="shared" si="280"/>
        <v>7.096774193548387</v>
      </c>
      <c r="E181" s="262">
        <f t="shared" si="280"/>
        <v>6.9</v>
      </c>
      <c r="F181" s="263">
        <f t="shared" si="280"/>
        <v>8.1333333333333329</v>
      </c>
      <c r="G181" s="264">
        <f t="shared" si="280"/>
        <v>9.4827586206896548</v>
      </c>
      <c r="H181" s="262">
        <f t="shared" si="280"/>
        <v>9.7096774193548381</v>
      </c>
      <c r="I181" s="263">
        <f>I$172/I$6</f>
        <v>11.161290322580646</v>
      </c>
      <c r="J181" s="264">
        <f>J$172/J$6</f>
        <v>7.8</v>
      </c>
      <c r="K181" s="262">
        <f>K$172/K$6</f>
        <v>10.419354838709678</v>
      </c>
      <c r="L181" s="262">
        <f>L$172/L$6</f>
        <v>10.266666666666667</v>
      </c>
      <c r="M181" s="262">
        <f>M$172/M$6</f>
        <v>8.870967741935484</v>
      </c>
      <c r="N181" s="391">
        <f>N172/N6</f>
        <v>9.0688705234159777</v>
      </c>
    </row>
    <row r="182" spans="1:14" x14ac:dyDescent="0.2">
      <c r="A182" s="44"/>
      <c r="B182" s="163"/>
      <c r="C182" s="164"/>
      <c r="D182" s="165"/>
      <c r="E182" s="163"/>
      <c r="F182" s="164"/>
      <c r="G182" s="165"/>
      <c r="H182" s="401"/>
      <c r="I182" s="402"/>
      <c r="J182" s="403"/>
      <c r="K182" s="163"/>
      <c r="L182" s="164"/>
      <c r="M182" s="165"/>
      <c r="N182" s="337"/>
    </row>
    <row r="183" spans="1:14" x14ac:dyDescent="0.2">
      <c r="A183" s="99" t="s">
        <v>80</v>
      </c>
      <c r="B183" s="341">
        <v>45658</v>
      </c>
      <c r="C183" s="342">
        <v>45689</v>
      </c>
      <c r="D183" s="343">
        <v>45717</v>
      </c>
      <c r="E183" s="341">
        <v>45748</v>
      </c>
      <c r="F183" s="342">
        <v>45778</v>
      </c>
      <c r="G183" s="343">
        <v>45809</v>
      </c>
      <c r="H183" s="341">
        <v>45839</v>
      </c>
      <c r="I183" s="342">
        <v>45870</v>
      </c>
      <c r="J183" s="343">
        <v>45901</v>
      </c>
      <c r="K183" s="341">
        <v>45931</v>
      </c>
      <c r="L183" s="342">
        <v>45962</v>
      </c>
      <c r="M183" s="343">
        <v>45992</v>
      </c>
      <c r="N183" s="199" t="s">
        <v>7</v>
      </c>
    </row>
    <row r="184" spans="1:14" x14ac:dyDescent="0.2">
      <c r="A184" s="105" t="s">
        <v>81</v>
      </c>
      <c r="B184" s="347">
        <v>426</v>
      </c>
      <c r="C184" s="348">
        <v>418</v>
      </c>
      <c r="D184" s="349">
        <v>396</v>
      </c>
      <c r="E184" s="347">
        <v>423</v>
      </c>
      <c r="F184" s="348">
        <v>456</v>
      </c>
      <c r="G184" s="349">
        <v>442</v>
      </c>
      <c r="H184" s="347">
        <v>525</v>
      </c>
      <c r="I184" s="348">
        <v>558</v>
      </c>
      <c r="J184" s="349">
        <v>504</v>
      </c>
      <c r="K184" s="347">
        <f>171+470</f>
        <v>641</v>
      </c>
      <c r="L184" s="348">
        <v>546</v>
      </c>
      <c r="M184" s="349">
        <v>494</v>
      </c>
      <c r="N184" s="209">
        <f>SUM(B184:M184)</f>
        <v>5829</v>
      </c>
    </row>
    <row r="185" spans="1:14" x14ac:dyDescent="0.2">
      <c r="A185" s="103" t="s">
        <v>82</v>
      </c>
      <c r="B185" s="146">
        <v>59</v>
      </c>
      <c r="C185" s="109">
        <v>57</v>
      </c>
      <c r="D185" s="147">
        <v>40</v>
      </c>
      <c r="E185" s="146">
        <v>46</v>
      </c>
      <c r="F185" s="109">
        <v>49</v>
      </c>
      <c r="G185" s="147">
        <v>46</v>
      </c>
      <c r="H185" s="146">
        <v>45</v>
      </c>
      <c r="I185" s="109">
        <v>60</v>
      </c>
      <c r="J185" s="147">
        <v>37</v>
      </c>
      <c r="K185" s="146">
        <f>17+40</f>
        <v>57</v>
      </c>
      <c r="L185" s="109">
        <v>56</v>
      </c>
      <c r="M185" s="147">
        <v>55</v>
      </c>
      <c r="N185" s="209">
        <f t="shared" ref="N185:N193" si="281">SUM(B185:M185)</f>
        <v>607</v>
      </c>
    </row>
    <row r="186" spans="1:14" x14ac:dyDescent="0.2">
      <c r="A186" s="103" t="s">
        <v>83</v>
      </c>
      <c r="B186" s="146">
        <v>11</v>
      </c>
      <c r="C186" s="109">
        <v>14</v>
      </c>
      <c r="D186" s="147">
        <v>14</v>
      </c>
      <c r="E186" s="146">
        <v>14</v>
      </c>
      <c r="F186" s="109">
        <v>12</v>
      </c>
      <c r="G186" s="147">
        <v>10</v>
      </c>
      <c r="H186" s="146">
        <v>16</v>
      </c>
      <c r="I186" s="109">
        <v>14</v>
      </c>
      <c r="J186" s="147">
        <v>15</v>
      </c>
      <c r="K186" s="146">
        <f>3+15</f>
        <v>18</v>
      </c>
      <c r="L186" s="109">
        <v>14</v>
      </c>
      <c r="M186" s="147">
        <v>17</v>
      </c>
      <c r="N186" s="209">
        <f t="shared" si="281"/>
        <v>169</v>
      </c>
    </row>
    <row r="187" spans="1:14" x14ac:dyDescent="0.2">
      <c r="A187" s="103" t="s">
        <v>84</v>
      </c>
      <c r="B187" s="146">
        <v>8</v>
      </c>
      <c r="C187" s="109">
        <v>3</v>
      </c>
      <c r="D187" s="147">
        <v>9</v>
      </c>
      <c r="E187" s="146">
        <v>5</v>
      </c>
      <c r="F187" s="109">
        <v>12</v>
      </c>
      <c r="G187" s="147">
        <v>10</v>
      </c>
      <c r="H187" s="146">
        <v>3</v>
      </c>
      <c r="I187" s="109">
        <v>6</v>
      </c>
      <c r="J187" s="147">
        <v>8</v>
      </c>
      <c r="K187" s="146">
        <f>2+5</f>
        <v>7</v>
      </c>
      <c r="L187" s="109">
        <v>6</v>
      </c>
      <c r="M187" s="147">
        <v>7</v>
      </c>
      <c r="N187" s="209">
        <f t="shared" si="281"/>
        <v>84</v>
      </c>
    </row>
    <row r="188" spans="1:14" x14ac:dyDescent="0.2">
      <c r="A188" s="103" t="s">
        <v>85</v>
      </c>
      <c r="B188" s="146">
        <v>23</v>
      </c>
      <c r="C188" s="109">
        <v>16</v>
      </c>
      <c r="D188" s="147">
        <v>19</v>
      </c>
      <c r="E188" s="146">
        <v>13</v>
      </c>
      <c r="F188" s="109">
        <v>13</v>
      </c>
      <c r="G188" s="147">
        <v>18</v>
      </c>
      <c r="H188" s="146">
        <v>23</v>
      </c>
      <c r="I188" s="109">
        <v>25</v>
      </c>
      <c r="J188" s="147">
        <v>19</v>
      </c>
      <c r="K188" s="146">
        <f>4+14</f>
        <v>18</v>
      </c>
      <c r="L188" s="109">
        <v>25</v>
      </c>
      <c r="M188" s="147">
        <v>11</v>
      </c>
      <c r="N188" s="209">
        <f t="shared" si="281"/>
        <v>223</v>
      </c>
    </row>
    <row r="189" spans="1:14" x14ac:dyDescent="0.2">
      <c r="A189" s="103" t="s">
        <v>86</v>
      </c>
      <c r="B189" s="146">
        <v>11</v>
      </c>
      <c r="C189" s="109">
        <v>13</v>
      </c>
      <c r="D189" s="147">
        <v>17</v>
      </c>
      <c r="E189" s="146">
        <v>14</v>
      </c>
      <c r="F189" s="109">
        <v>12</v>
      </c>
      <c r="G189" s="147">
        <v>20</v>
      </c>
      <c r="H189" s="146">
        <v>10</v>
      </c>
      <c r="I189" s="109">
        <v>19</v>
      </c>
      <c r="J189" s="147">
        <v>27</v>
      </c>
      <c r="K189" s="146">
        <f>4+9</f>
        <v>13</v>
      </c>
      <c r="L189" s="109">
        <v>20</v>
      </c>
      <c r="M189" s="147">
        <v>9</v>
      </c>
      <c r="N189" s="209">
        <f t="shared" si="281"/>
        <v>185</v>
      </c>
    </row>
    <row r="190" spans="1:14" x14ac:dyDescent="0.2">
      <c r="A190" s="103" t="s">
        <v>87</v>
      </c>
      <c r="B190" s="146">
        <v>3</v>
      </c>
      <c r="C190" s="109">
        <v>7</v>
      </c>
      <c r="D190" s="147">
        <v>11</v>
      </c>
      <c r="E190" s="146">
        <v>7</v>
      </c>
      <c r="F190" s="109">
        <v>4</v>
      </c>
      <c r="G190" s="147">
        <v>6</v>
      </c>
      <c r="H190" s="146">
        <v>7</v>
      </c>
      <c r="I190" s="109">
        <v>7</v>
      </c>
      <c r="J190" s="147">
        <v>5</v>
      </c>
      <c r="K190" s="146">
        <f>4+9</f>
        <v>13</v>
      </c>
      <c r="L190" s="109">
        <v>14</v>
      </c>
      <c r="M190" s="147">
        <v>9</v>
      </c>
      <c r="N190" s="209">
        <f t="shared" si="281"/>
        <v>93</v>
      </c>
    </row>
    <row r="191" spans="1:14" x14ac:dyDescent="0.2">
      <c r="A191" s="103" t="s">
        <v>88</v>
      </c>
      <c r="B191" s="146">
        <v>3</v>
      </c>
      <c r="C191" s="109">
        <v>1</v>
      </c>
      <c r="D191" s="147">
        <v>2</v>
      </c>
      <c r="E191" s="146">
        <v>1</v>
      </c>
      <c r="F191" s="109">
        <v>7</v>
      </c>
      <c r="G191" s="147">
        <v>6</v>
      </c>
      <c r="H191" s="146">
        <v>5</v>
      </c>
      <c r="I191" s="109">
        <v>7</v>
      </c>
      <c r="J191" s="147">
        <v>3</v>
      </c>
      <c r="K191" s="146">
        <f>7+4</f>
        <v>11</v>
      </c>
      <c r="L191" s="109">
        <v>2</v>
      </c>
      <c r="M191" s="147">
        <v>2</v>
      </c>
      <c r="N191" s="209">
        <f t="shared" si="281"/>
        <v>50</v>
      </c>
    </row>
    <row r="192" spans="1:14" x14ac:dyDescent="0.2">
      <c r="A192" s="103" t="s">
        <v>78</v>
      </c>
      <c r="B192" s="146">
        <v>3</v>
      </c>
      <c r="C192" s="109">
        <v>5</v>
      </c>
      <c r="D192" s="147">
        <v>3</v>
      </c>
      <c r="E192" s="146">
        <v>4</v>
      </c>
      <c r="F192" s="109"/>
      <c r="G192" s="147">
        <v>3</v>
      </c>
      <c r="H192" s="146"/>
      <c r="I192" s="109">
        <v>2</v>
      </c>
      <c r="J192" s="147">
        <v>1</v>
      </c>
      <c r="K192" s="146">
        <f>1+3</f>
        <v>4</v>
      </c>
      <c r="L192" s="109"/>
      <c r="M192" s="147"/>
      <c r="N192" s="209">
        <f t="shared" si="281"/>
        <v>25</v>
      </c>
    </row>
    <row r="193" spans="1:14" x14ac:dyDescent="0.2">
      <c r="A193" s="106" t="s">
        <v>89</v>
      </c>
      <c r="B193" s="155">
        <v>9</v>
      </c>
      <c r="C193" s="156">
        <v>8</v>
      </c>
      <c r="D193" s="157">
        <v>13</v>
      </c>
      <c r="E193" s="155">
        <v>6</v>
      </c>
      <c r="F193" s="156">
        <v>6</v>
      </c>
      <c r="G193" s="157">
        <v>7</v>
      </c>
      <c r="H193" s="155">
        <v>9</v>
      </c>
      <c r="I193" s="156">
        <v>14</v>
      </c>
      <c r="J193" s="157">
        <v>9</v>
      </c>
      <c r="K193" s="155">
        <f>4+5</f>
        <v>9</v>
      </c>
      <c r="L193" s="156">
        <v>5</v>
      </c>
      <c r="M193" s="157">
        <v>6</v>
      </c>
      <c r="N193" s="209">
        <f t="shared" si="281"/>
        <v>101</v>
      </c>
    </row>
    <row r="194" spans="1:14" x14ac:dyDescent="0.2">
      <c r="A194" s="99" t="s">
        <v>24</v>
      </c>
      <c r="B194" s="377">
        <f t="shared" ref="B194:H194" si="282">SUM(B184:B193)</f>
        <v>556</v>
      </c>
      <c r="C194" s="378">
        <f t="shared" si="282"/>
        <v>542</v>
      </c>
      <c r="D194" s="379">
        <f t="shared" si="282"/>
        <v>524</v>
      </c>
      <c r="E194" s="377">
        <f t="shared" si="282"/>
        <v>533</v>
      </c>
      <c r="F194" s="378">
        <f t="shared" si="282"/>
        <v>571</v>
      </c>
      <c r="G194" s="379">
        <f t="shared" si="282"/>
        <v>568</v>
      </c>
      <c r="H194" s="377">
        <f t="shared" si="282"/>
        <v>643</v>
      </c>
      <c r="I194" s="378">
        <f>SUM(I184:I193)</f>
        <v>712</v>
      </c>
      <c r="J194" s="379">
        <f>SUM(J184:J193)</f>
        <v>628</v>
      </c>
      <c r="K194" s="377">
        <f>SUM(K184:K193)</f>
        <v>791</v>
      </c>
      <c r="L194" s="377">
        <f t="shared" ref="L194:M194" si="283">SUM(L184:L193)</f>
        <v>688</v>
      </c>
      <c r="M194" s="377">
        <f t="shared" si="283"/>
        <v>610</v>
      </c>
      <c r="N194" s="199">
        <f>SUM(B194:M194)</f>
        <v>7366</v>
      </c>
    </row>
    <row r="195" spans="1:14" x14ac:dyDescent="0.2">
      <c r="A195" s="98" t="s">
        <v>92</v>
      </c>
      <c r="B195" s="356">
        <v>45658</v>
      </c>
      <c r="C195" s="357">
        <v>45689</v>
      </c>
      <c r="D195" s="358">
        <v>45717</v>
      </c>
      <c r="E195" s="356">
        <v>45748</v>
      </c>
      <c r="F195" s="357">
        <v>45778</v>
      </c>
      <c r="G195" s="358">
        <v>45809</v>
      </c>
      <c r="H195" s="356">
        <v>45839</v>
      </c>
      <c r="I195" s="357">
        <v>45870</v>
      </c>
      <c r="J195" s="358">
        <v>45901</v>
      </c>
      <c r="K195" s="356">
        <v>45931</v>
      </c>
      <c r="L195" s="357">
        <v>45962</v>
      </c>
      <c r="M195" s="358">
        <v>45992</v>
      </c>
      <c r="N195" s="380"/>
    </row>
    <row r="196" spans="1:14" x14ac:dyDescent="0.2">
      <c r="A196" s="105" t="s">
        <v>81</v>
      </c>
      <c r="B196" s="360">
        <f t="shared" ref="B196:G196" si="284">B184/B$194</f>
        <v>0.76618705035971224</v>
      </c>
      <c r="C196" s="361">
        <f t="shared" si="284"/>
        <v>0.77121771217712176</v>
      </c>
      <c r="D196" s="362">
        <f t="shared" si="284"/>
        <v>0.75572519083969469</v>
      </c>
      <c r="E196" s="360">
        <f t="shared" si="284"/>
        <v>0.79362101313320821</v>
      </c>
      <c r="F196" s="361">
        <f t="shared" si="284"/>
        <v>0.79859894921190888</v>
      </c>
      <c r="G196" s="362">
        <f t="shared" si="284"/>
        <v>0.778169014084507</v>
      </c>
      <c r="H196" s="360">
        <f t="shared" ref="H196" si="285">H184/H$194</f>
        <v>0.81648522550544322</v>
      </c>
      <c r="I196" s="361">
        <f t="shared" ref="I196:L205" si="286">I184/I$194</f>
        <v>0.7837078651685393</v>
      </c>
      <c r="J196" s="362">
        <f t="shared" si="286"/>
        <v>0.80254777070063699</v>
      </c>
      <c r="K196" s="363">
        <f t="shared" si="286"/>
        <v>0.81036662452591657</v>
      </c>
      <c r="L196" s="363">
        <f t="shared" si="286"/>
        <v>0.79360465116279066</v>
      </c>
      <c r="M196" s="363">
        <f t="shared" ref="M196" si="287">M184/M$194</f>
        <v>0.80983606557377052</v>
      </c>
      <c r="N196" s="384">
        <f>N184/$N$194</f>
        <v>0.79133858267716539</v>
      </c>
    </row>
    <row r="197" spans="1:14" x14ac:dyDescent="0.2">
      <c r="A197" s="103" t="s">
        <v>82</v>
      </c>
      <c r="B197" s="172">
        <f t="shared" ref="B197:C205" si="288">B185/B$194</f>
        <v>0.10611510791366907</v>
      </c>
      <c r="C197" s="170">
        <f t="shared" si="288"/>
        <v>0.10516605166051661</v>
      </c>
      <c r="D197" s="171">
        <f t="shared" ref="D197:E197" si="289">D185/D$194</f>
        <v>7.6335877862595422E-2</v>
      </c>
      <c r="E197" s="172">
        <f t="shared" si="289"/>
        <v>8.6303939962476553E-2</v>
      </c>
      <c r="F197" s="170">
        <f t="shared" ref="F197:G197" si="290">F185/F$194</f>
        <v>8.5814360770577927E-2</v>
      </c>
      <c r="G197" s="171">
        <f t="shared" si="290"/>
        <v>8.098591549295775E-2</v>
      </c>
      <c r="H197" s="172">
        <f t="shared" ref="H197" si="291">H185/H$194</f>
        <v>6.9984447900466568E-2</v>
      </c>
      <c r="I197" s="170">
        <f t="shared" si="286"/>
        <v>8.4269662921348312E-2</v>
      </c>
      <c r="J197" s="171">
        <f t="shared" si="286"/>
        <v>5.89171974522293E-2</v>
      </c>
      <c r="K197" s="364">
        <f t="shared" si="286"/>
        <v>7.2060682680151714E-2</v>
      </c>
      <c r="L197" s="364">
        <f t="shared" si="286"/>
        <v>8.1395348837209308E-2</v>
      </c>
      <c r="M197" s="364">
        <f t="shared" ref="M197" si="292">M185/M$194</f>
        <v>9.0163934426229511E-2</v>
      </c>
      <c r="N197" s="384">
        <f t="shared" ref="N197:N205" si="293">N185/$N$194</f>
        <v>8.2405647569915835E-2</v>
      </c>
    </row>
    <row r="198" spans="1:14" x14ac:dyDescent="0.2">
      <c r="A198" s="103" t="s">
        <v>83</v>
      </c>
      <c r="B198" s="172">
        <f t="shared" si="288"/>
        <v>1.9784172661870502E-2</v>
      </c>
      <c r="C198" s="170">
        <f t="shared" si="288"/>
        <v>2.5830258302583026E-2</v>
      </c>
      <c r="D198" s="171">
        <f t="shared" ref="D198:E198" si="294">D186/D$194</f>
        <v>2.6717557251908396E-2</v>
      </c>
      <c r="E198" s="172">
        <f t="shared" si="294"/>
        <v>2.6266416510318951E-2</v>
      </c>
      <c r="F198" s="170">
        <f t="shared" ref="F198:G198" si="295">F186/F$194</f>
        <v>2.1015761821366025E-2</v>
      </c>
      <c r="G198" s="171">
        <f t="shared" si="295"/>
        <v>1.7605633802816902E-2</v>
      </c>
      <c r="H198" s="172">
        <f t="shared" ref="H198" si="296">H186/H$194</f>
        <v>2.4883359253499222E-2</v>
      </c>
      <c r="I198" s="170">
        <f t="shared" si="286"/>
        <v>1.9662921348314606E-2</v>
      </c>
      <c r="J198" s="171">
        <f t="shared" si="286"/>
        <v>2.3885350318471339E-2</v>
      </c>
      <c r="K198" s="364">
        <f t="shared" si="286"/>
        <v>2.2756005056890013E-2</v>
      </c>
      <c r="L198" s="364">
        <f t="shared" si="286"/>
        <v>2.0348837209302327E-2</v>
      </c>
      <c r="M198" s="364">
        <f t="shared" ref="M198" si="297">M186/M$194</f>
        <v>2.7868852459016394E-2</v>
      </c>
      <c r="N198" s="384">
        <f t="shared" si="293"/>
        <v>2.294325278305729E-2</v>
      </c>
    </row>
    <row r="199" spans="1:14" x14ac:dyDescent="0.2">
      <c r="A199" s="103" t="s">
        <v>84</v>
      </c>
      <c r="B199" s="172">
        <f t="shared" si="288"/>
        <v>1.4388489208633094E-2</v>
      </c>
      <c r="C199" s="170">
        <f t="shared" si="288"/>
        <v>5.5350553505535052E-3</v>
      </c>
      <c r="D199" s="171">
        <f t="shared" ref="D199:E199" si="298">D187/D$194</f>
        <v>1.717557251908397E-2</v>
      </c>
      <c r="E199" s="172">
        <f t="shared" si="298"/>
        <v>9.3808630393996256E-3</v>
      </c>
      <c r="F199" s="170">
        <f t="shared" ref="F199:G199" si="299">F187/F$194</f>
        <v>2.1015761821366025E-2</v>
      </c>
      <c r="G199" s="171">
        <f t="shared" si="299"/>
        <v>1.7605633802816902E-2</v>
      </c>
      <c r="H199" s="172">
        <f t="shared" ref="H199" si="300">H187/H$194</f>
        <v>4.6656298600311046E-3</v>
      </c>
      <c r="I199" s="170">
        <f t="shared" si="286"/>
        <v>8.4269662921348312E-3</v>
      </c>
      <c r="J199" s="171">
        <f t="shared" si="286"/>
        <v>1.2738853503184714E-2</v>
      </c>
      <c r="K199" s="364">
        <f t="shared" si="286"/>
        <v>8.8495575221238937E-3</v>
      </c>
      <c r="L199" s="364">
        <f t="shared" si="286"/>
        <v>8.7209302325581394E-3</v>
      </c>
      <c r="M199" s="364">
        <f t="shared" ref="M199" si="301">M187/M$194</f>
        <v>1.1475409836065573E-2</v>
      </c>
      <c r="N199" s="384">
        <f t="shared" si="293"/>
        <v>1.1403746945424925E-2</v>
      </c>
    </row>
    <row r="200" spans="1:14" x14ac:dyDescent="0.2">
      <c r="A200" s="103" t="s">
        <v>85</v>
      </c>
      <c r="B200" s="172">
        <f t="shared" si="288"/>
        <v>4.1366906474820143E-2</v>
      </c>
      <c r="C200" s="170">
        <f t="shared" si="288"/>
        <v>2.9520295202952029E-2</v>
      </c>
      <c r="D200" s="171">
        <f t="shared" ref="D200:E200" si="302">D188/D$194</f>
        <v>3.6259541984732822E-2</v>
      </c>
      <c r="E200" s="172">
        <f t="shared" si="302"/>
        <v>2.4390243902439025E-2</v>
      </c>
      <c r="F200" s="170">
        <f t="shared" ref="F200:G200" si="303">F188/F$194</f>
        <v>2.276707530647986E-2</v>
      </c>
      <c r="G200" s="171">
        <f t="shared" si="303"/>
        <v>3.1690140845070422E-2</v>
      </c>
      <c r="H200" s="172">
        <f t="shared" ref="H200" si="304">H188/H$194</f>
        <v>3.5769828926905133E-2</v>
      </c>
      <c r="I200" s="170">
        <f t="shared" si="286"/>
        <v>3.51123595505618E-2</v>
      </c>
      <c r="J200" s="171">
        <f t="shared" si="286"/>
        <v>3.0254777070063694E-2</v>
      </c>
      <c r="K200" s="364">
        <f t="shared" si="286"/>
        <v>2.2756005056890013E-2</v>
      </c>
      <c r="L200" s="364">
        <f t="shared" si="286"/>
        <v>3.6337209302325583E-2</v>
      </c>
      <c r="M200" s="364">
        <f t="shared" ref="M200" si="305">M188/M$194</f>
        <v>1.8032786885245903E-2</v>
      </c>
      <c r="N200" s="384">
        <f t="shared" si="293"/>
        <v>3.0274232962259028E-2</v>
      </c>
    </row>
    <row r="201" spans="1:14" x14ac:dyDescent="0.2">
      <c r="A201" s="103" t="s">
        <v>86</v>
      </c>
      <c r="B201" s="172">
        <f t="shared" si="288"/>
        <v>1.9784172661870502E-2</v>
      </c>
      <c r="C201" s="170">
        <f t="shared" si="288"/>
        <v>2.3985239852398525E-2</v>
      </c>
      <c r="D201" s="171">
        <f t="shared" ref="D201:E201" si="306">D189/D$194</f>
        <v>3.2442748091603052E-2</v>
      </c>
      <c r="E201" s="172">
        <f t="shared" si="306"/>
        <v>2.6266416510318951E-2</v>
      </c>
      <c r="F201" s="170">
        <f t="shared" ref="F201:G201" si="307">F189/F$194</f>
        <v>2.1015761821366025E-2</v>
      </c>
      <c r="G201" s="171">
        <f t="shared" si="307"/>
        <v>3.5211267605633804E-2</v>
      </c>
      <c r="H201" s="172">
        <f t="shared" ref="H201" si="308">H189/H$194</f>
        <v>1.5552099533437015E-2</v>
      </c>
      <c r="I201" s="170">
        <f t="shared" si="286"/>
        <v>2.6685393258426966E-2</v>
      </c>
      <c r="J201" s="171">
        <f t="shared" si="286"/>
        <v>4.2993630573248405E-2</v>
      </c>
      <c r="K201" s="364">
        <f t="shared" si="286"/>
        <v>1.643489254108723E-2</v>
      </c>
      <c r="L201" s="364">
        <f t="shared" si="286"/>
        <v>2.9069767441860465E-2</v>
      </c>
      <c r="M201" s="364">
        <f t="shared" ref="M201" si="309">M189/M$194</f>
        <v>1.4754098360655738E-2</v>
      </c>
      <c r="N201" s="384">
        <f t="shared" si="293"/>
        <v>2.5115395058376323E-2</v>
      </c>
    </row>
    <row r="202" spans="1:14" x14ac:dyDescent="0.2">
      <c r="A202" s="103" t="s">
        <v>87</v>
      </c>
      <c r="B202" s="172">
        <f t="shared" si="288"/>
        <v>5.3956834532374104E-3</v>
      </c>
      <c r="C202" s="170">
        <f t="shared" si="288"/>
        <v>1.2915129151291513E-2</v>
      </c>
      <c r="D202" s="171">
        <f t="shared" ref="D202:E202" si="310">D190/D$194</f>
        <v>2.0992366412213741E-2</v>
      </c>
      <c r="E202" s="172">
        <f t="shared" si="310"/>
        <v>1.3133208255159476E-2</v>
      </c>
      <c r="F202" s="170">
        <f t="shared" ref="F202:G202" si="311">F190/F$194</f>
        <v>7.0052539404553416E-3</v>
      </c>
      <c r="G202" s="171">
        <f t="shared" si="311"/>
        <v>1.0563380281690141E-2</v>
      </c>
      <c r="H202" s="172">
        <f t="shared" ref="H202" si="312">H190/H$194</f>
        <v>1.088646967340591E-2</v>
      </c>
      <c r="I202" s="170">
        <f t="shared" si="286"/>
        <v>9.8314606741573031E-3</v>
      </c>
      <c r="J202" s="171">
        <f t="shared" si="286"/>
        <v>7.9617834394904458E-3</v>
      </c>
      <c r="K202" s="364">
        <f t="shared" si="286"/>
        <v>1.643489254108723E-2</v>
      </c>
      <c r="L202" s="364">
        <f t="shared" si="286"/>
        <v>2.0348837209302327E-2</v>
      </c>
      <c r="M202" s="364">
        <f t="shared" ref="M202" si="313">M190/M$194</f>
        <v>1.4754098360655738E-2</v>
      </c>
      <c r="N202" s="384">
        <f t="shared" si="293"/>
        <v>1.2625576975291881E-2</v>
      </c>
    </row>
    <row r="203" spans="1:14" x14ac:dyDescent="0.2">
      <c r="A203" s="103" t="s">
        <v>88</v>
      </c>
      <c r="B203" s="172">
        <f t="shared" si="288"/>
        <v>5.3956834532374104E-3</v>
      </c>
      <c r="C203" s="170">
        <f t="shared" si="288"/>
        <v>1.8450184501845018E-3</v>
      </c>
      <c r="D203" s="171">
        <f t="shared" ref="D203:E203" si="314">D191/D$194</f>
        <v>3.8167938931297708E-3</v>
      </c>
      <c r="E203" s="172">
        <f t="shared" si="314"/>
        <v>1.876172607879925E-3</v>
      </c>
      <c r="F203" s="170">
        <f t="shared" ref="F203:G203" si="315">F191/F$194</f>
        <v>1.2259194395796848E-2</v>
      </c>
      <c r="G203" s="171">
        <f t="shared" si="315"/>
        <v>1.0563380281690141E-2</v>
      </c>
      <c r="H203" s="172">
        <f t="shared" ref="H203" si="316">H191/H$194</f>
        <v>7.7760497667185074E-3</v>
      </c>
      <c r="I203" s="170">
        <f t="shared" si="286"/>
        <v>9.8314606741573031E-3</v>
      </c>
      <c r="J203" s="171">
        <f t="shared" si="286"/>
        <v>4.7770700636942673E-3</v>
      </c>
      <c r="K203" s="364">
        <f t="shared" si="286"/>
        <v>1.3906447534766119E-2</v>
      </c>
      <c r="L203" s="364">
        <f t="shared" si="286"/>
        <v>2.9069767441860465E-3</v>
      </c>
      <c r="M203" s="364">
        <f t="shared" ref="M203" si="317">M191/M$194</f>
        <v>3.2786885245901639E-3</v>
      </c>
      <c r="N203" s="384">
        <f t="shared" si="293"/>
        <v>6.7879446103719793E-3</v>
      </c>
    </row>
    <row r="204" spans="1:14" x14ac:dyDescent="0.2">
      <c r="A204" s="103" t="s">
        <v>78</v>
      </c>
      <c r="B204" s="172">
        <f t="shared" si="288"/>
        <v>5.3956834532374104E-3</v>
      </c>
      <c r="C204" s="170">
        <f t="shared" si="288"/>
        <v>9.2250922509225092E-3</v>
      </c>
      <c r="D204" s="171">
        <f t="shared" ref="D204:E204" si="318">D192/D$194</f>
        <v>5.7251908396946565E-3</v>
      </c>
      <c r="E204" s="172">
        <f t="shared" si="318"/>
        <v>7.5046904315196998E-3</v>
      </c>
      <c r="F204" s="170">
        <f t="shared" ref="F204:G204" si="319">F192/F$194</f>
        <v>0</v>
      </c>
      <c r="G204" s="171">
        <f t="shared" si="319"/>
        <v>5.2816901408450703E-3</v>
      </c>
      <c r="H204" s="172">
        <f t="shared" ref="H204" si="320">H192/H$194</f>
        <v>0</v>
      </c>
      <c r="I204" s="170">
        <f t="shared" si="286"/>
        <v>2.8089887640449437E-3</v>
      </c>
      <c r="J204" s="171">
        <f t="shared" si="286"/>
        <v>1.5923566878980893E-3</v>
      </c>
      <c r="K204" s="364">
        <f t="shared" si="286"/>
        <v>5.0568900126422255E-3</v>
      </c>
      <c r="L204" s="364">
        <f t="shared" si="286"/>
        <v>0</v>
      </c>
      <c r="M204" s="364">
        <f t="shared" ref="M204" si="321">M192/M$194</f>
        <v>0</v>
      </c>
      <c r="N204" s="384">
        <f t="shared" si="293"/>
        <v>3.3939723051859896E-3</v>
      </c>
    </row>
    <row r="205" spans="1:14" x14ac:dyDescent="0.2">
      <c r="A205" s="107" t="s">
        <v>89</v>
      </c>
      <c r="B205" s="160">
        <f t="shared" si="288"/>
        <v>1.618705035971223E-2</v>
      </c>
      <c r="C205" s="158">
        <f t="shared" si="288"/>
        <v>1.4760147601476014E-2</v>
      </c>
      <c r="D205" s="159">
        <f t="shared" ref="D205:E205" si="322">D193/D$194</f>
        <v>2.4809160305343511E-2</v>
      </c>
      <c r="E205" s="160">
        <f t="shared" si="322"/>
        <v>1.125703564727955E-2</v>
      </c>
      <c r="F205" s="158">
        <f t="shared" ref="F205:G205" si="323">F193/F$194</f>
        <v>1.0507880910683012E-2</v>
      </c>
      <c r="G205" s="159">
        <f t="shared" si="323"/>
        <v>1.232394366197183E-2</v>
      </c>
      <c r="H205" s="160">
        <f t="shared" ref="H205" si="324">H193/H$194</f>
        <v>1.3996889580093312E-2</v>
      </c>
      <c r="I205" s="158">
        <f t="shared" si="286"/>
        <v>1.9662921348314606E-2</v>
      </c>
      <c r="J205" s="159">
        <f t="shared" si="286"/>
        <v>1.4331210191082803E-2</v>
      </c>
      <c r="K205" s="233">
        <f t="shared" si="286"/>
        <v>1.1378002528445006E-2</v>
      </c>
      <c r="L205" s="233">
        <f t="shared" si="286"/>
        <v>7.2674418604651162E-3</v>
      </c>
      <c r="M205" s="233">
        <f t="shared" ref="M205" si="325">M193/M$194</f>
        <v>9.8360655737704927E-3</v>
      </c>
      <c r="N205" s="384">
        <f t="shared" si="293"/>
        <v>1.3711648112951398E-2</v>
      </c>
    </row>
    <row r="206" spans="1:14" x14ac:dyDescent="0.2">
      <c r="A206" s="44"/>
      <c r="B206" s="163"/>
      <c r="C206" s="164"/>
      <c r="D206" s="165"/>
      <c r="E206" s="163"/>
      <c r="F206" s="164"/>
      <c r="G206" s="165"/>
      <c r="H206" s="401"/>
      <c r="I206" s="402"/>
      <c r="J206" s="403"/>
      <c r="K206" s="163"/>
      <c r="L206" s="164"/>
      <c r="M206" s="165"/>
      <c r="N206" s="337"/>
    </row>
    <row r="207" spans="1:14" x14ac:dyDescent="0.2">
      <c r="A207" s="99" t="s">
        <v>90</v>
      </c>
      <c r="B207" s="120">
        <v>45658</v>
      </c>
      <c r="C207" s="121">
        <v>45689</v>
      </c>
      <c r="D207" s="122">
        <v>45717</v>
      </c>
      <c r="E207" s="120">
        <v>45748</v>
      </c>
      <c r="F207" s="121">
        <v>45778</v>
      </c>
      <c r="G207" s="122">
        <v>45809</v>
      </c>
      <c r="H207" s="120">
        <v>45839</v>
      </c>
      <c r="I207" s="121">
        <v>45870</v>
      </c>
      <c r="J207" s="122">
        <v>45901</v>
      </c>
      <c r="K207" s="120">
        <v>45931</v>
      </c>
      <c r="L207" s="121">
        <v>45962</v>
      </c>
      <c r="M207" s="122">
        <v>45992</v>
      </c>
      <c r="N207" s="199" t="s">
        <v>7</v>
      </c>
    </row>
    <row r="208" spans="1:14" x14ac:dyDescent="0.2">
      <c r="A208" s="105" t="s">
        <v>72</v>
      </c>
      <c r="B208" s="141">
        <v>12</v>
      </c>
      <c r="C208" s="142">
        <v>15</v>
      </c>
      <c r="D208" s="143">
        <v>8</v>
      </c>
      <c r="E208" s="141">
        <v>12</v>
      </c>
      <c r="F208" s="142">
        <v>12</v>
      </c>
      <c r="G208" s="143">
        <v>19</v>
      </c>
      <c r="H208" s="141">
        <v>13</v>
      </c>
      <c r="I208" s="142">
        <v>17</v>
      </c>
      <c r="J208" s="143">
        <v>16</v>
      </c>
      <c r="K208" s="141">
        <f>2+12</f>
        <v>14</v>
      </c>
      <c r="L208" s="142">
        <v>10</v>
      </c>
      <c r="M208" s="143">
        <v>13</v>
      </c>
      <c r="N208" s="209">
        <f>SUM(B208:M208)</f>
        <v>161</v>
      </c>
    </row>
    <row r="209" spans="1:14" x14ac:dyDescent="0.2">
      <c r="A209" s="106" t="s">
        <v>71</v>
      </c>
      <c r="B209" s="129">
        <v>544</v>
      </c>
      <c r="C209" s="130">
        <v>527</v>
      </c>
      <c r="D209" s="131">
        <v>516</v>
      </c>
      <c r="E209" s="129">
        <v>521</v>
      </c>
      <c r="F209" s="130">
        <v>559</v>
      </c>
      <c r="G209" s="131">
        <v>549</v>
      </c>
      <c r="H209" s="129">
        <v>630</v>
      </c>
      <c r="I209" s="130">
        <v>695</v>
      </c>
      <c r="J209" s="131">
        <v>612</v>
      </c>
      <c r="K209" s="129">
        <f>215+562</f>
        <v>777</v>
      </c>
      <c r="L209" s="130">
        <v>678</v>
      </c>
      <c r="M209" s="131">
        <v>597</v>
      </c>
      <c r="N209" s="337">
        <f t="shared" ref="N209:N210" si="326">SUM(B209:M209)</f>
        <v>7205</v>
      </c>
    </row>
    <row r="210" spans="1:14" x14ac:dyDescent="0.2">
      <c r="A210" s="95" t="s">
        <v>24</v>
      </c>
      <c r="B210" s="398">
        <f t="shared" ref="B210:H210" si="327">SUM(B208:B209)</f>
        <v>556</v>
      </c>
      <c r="C210" s="399">
        <f t="shared" si="327"/>
        <v>542</v>
      </c>
      <c r="D210" s="400">
        <f t="shared" si="327"/>
        <v>524</v>
      </c>
      <c r="E210" s="398">
        <f t="shared" si="327"/>
        <v>533</v>
      </c>
      <c r="F210" s="399">
        <f t="shared" si="327"/>
        <v>571</v>
      </c>
      <c r="G210" s="400">
        <f t="shared" si="327"/>
        <v>568</v>
      </c>
      <c r="H210" s="398">
        <f t="shared" si="327"/>
        <v>643</v>
      </c>
      <c r="I210" s="399">
        <f>SUM(I208:I209)</f>
        <v>712</v>
      </c>
      <c r="J210" s="400">
        <f>SUM(J208:J209)</f>
        <v>628</v>
      </c>
      <c r="K210" s="398">
        <f>SUM(K208:K209)</f>
        <v>791</v>
      </c>
      <c r="L210" s="398">
        <f>SUM(L208:L209)</f>
        <v>688</v>
      </c>
      <c r="M210" s="382">
        <f>SUM(M208:M209)</f>
        <v>610</v>
      </c>
      <c r="N210" s="199">
        <f t="shared" si="326"/>
        <v>7366</v>
      </c>
    </row>
    <row r="211" spans="1:14" x14ac:dyDescent="0.2">
      <c r="A211" s="99" t="s">
        <v>92</v>
      </c>
      <c r="B211" s="120">
        <v>45658</v>
      </c>
      <c r="C211" s="121">
        <v>45689</v>
      </c>
      <c r="D211" s="122">
        <v>45717</v>
      </c>
      <c r="E211" s="120">
        <v>45748</v>
      </c>
      <c r="F211" s="121">
        <v>45778</v>
      </c>
      <c r="G211" s="122">
        <v>45809</v>
      </c>
      <c r="H211" s="120">
        <v>45839</v>
      </c>
      <c r="I211" s="121">
        <v>45870</v>
      </c>
      <c r="J211" s="122">
        <v>45901</v>
      </c>
      <c r="K211" s="120">
        <v>45931</v>
      </c>
      <c r="L211" s="121">
        <v>45962</v>
      </c>
      <c r="M211" s="122">
        <v>45992</v>
      </c>
      <c r="N211" s="380"/>
    </row>
    <row r="212" spans="1:14" x14ac:dyDescent="0.2">
      <c r="A212" s="105" t="s">
        <v>72</v>
      </c>
      <c r="B212" s="229">
        <f t="shared" ref="B212:G212" si="328">B208/B210</f>
        <v>2.1582733812949641E-2</v>
      </c>
      <c r="C212" s="144">
        <f t="shared" si="328"/>
        <v>2.7675276752767528E-2</v>
      </c>
      <c r="D212" s="230">
        <f t="shared" si="328"/>
        <v>1.5267175572519083E-2</v>
      </c>
      <c r="E212" s="229">
        <f t="shared" si="328"/>
        <v>2.2514071294559099E-2</v>
      </c>
      <c r="F212" s="144">
        <f t="shared" si="328"/>
        <v>2.1015761821366025E-2</v>
      </c>
      <c r="G212" s="230">
        <f t="shared" si="328"/>
        <v>3.345070422535211E-2</v>
      </c>
      <c r="H212" s="229">
        <f t="shared" ref="H212" si="329">H208/H210</f>
        <v>2.0217729393468119E-2</v>
      </c>
      <c r="I212" s="144">
        <f t="shared" ref="I212:N212" si="330">I208/I210</f>
        <v>2.3876404494382022E-2</v>
      </c>
      <c r="J212" s="230">
        <f t="shared" si="330"/>
        <v>2.5477707006369428E-2</v>
      </c>
      <c r="K212" s="309">
        <f t="shared" si="330"/>
        <v>1.7699115044247787E-2</v>
      </c>
      <c r="L212" s="309">
        <f t="shared" si="330"/>
        <v>1.4534883720930232E-2</v>
      </c>
      <c r="M212" s="309">
        <f t="shared" si="330"/>
        <v>2.1311475409836064E-2</v>
      </c>
      <c r="N212" s="384">
        <f t="shared" si="330"/>
        <v>2.1857181645397773E-2</v>
      </c>
    </row>
    <row r="213" spans="1:14" x14ac:dyDescent="0.2">
      <c r="A213" s="107" t="s">
        <v>71</v>
      </c>
      <c r="B213" s="160">
        <f t="shared" ref="B213:G213" si="331">B209/B210</f>
        <v>0.97841726618705038</v>
      </c>
      <c r="C213" s="158">
        <f t="shared" si="331"/>
        <v>0.97232472324723251</v>
      </c>
      <c r="D213" s="159">
        <f t="shared" si="331"/>
        <v>0.98473282442748089</v>
      </c>
      <c r="E213" s="160">
        <f t="shared" si="331"/>
        <v>0.97748592870544093</v>
      </c>
      <c r="F213" s="158">
        <f t="shared" si="331"/>
        <v>0.978984238178634</v>
      </c>
      <c r="G213" s="159">
        <f t="shared" si="331"/>
        <v>0.96654929577464788</v>
      </c>
      <c r="H213" s="160">
        <f t="shared" ref="H213" si="332">H209/H210</f>
        <v>0.97978227060653189</v>
      </c>
      <c r="I213" s="158">
        <f t="shared" ref="I213:N213" si="333">I209/I210</f>
        <v>0.976123595505618</v>
      </c>
      <c r="J213" s="159">
        <f t="shared" si="333"/>
        <v>0.97452229299363058</v>
      </c>
      <c r="K213" s="233">
        <f t="shared" si="333"/>
        <v>0.98230088495575218</v>
      </c>
      <c r="L213" s="233">
        <f t="shared" si="333"/>
        <v>0.98546511627906974</v>
      </c>
      <c r="M213" s="233">
        <f t="shared" si="333"/>
        <v>0.97868852459016398</v>
      </c>
      <c r="N213" s="383">
        <f t="shared" si="333"/>
        <v>0.97814281835460226</v>
      </c>
    </row>
  </sheetData>
  <mergeCells count="5">
    <mergeCell ref="B2:D2"/>
    <mergeCell ref="E2:G2"/>
    <mergeCell ref="H2:J2"/>
    <mergeCell ref="K2:M2"/>
    <mergeCell ref="B1:N1"/>
  </mergeCells>
  <pageMargins left="0.25" right="0.25" top="0.75" bottom="0.75" header="0.3" footer="0.3"/>
  <pageSetup scale="3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A019-34C3-4A53-A6D0-FC398EDE5A98}">
  <sheetPr>
    <pageSetUpPr fitToPage="1"/>
  </sheetPr>
  <dimension ref="A1:N211"/>
  <sheetViews>
    <sheetView zoomScale="90" zoomScaleNormal="90" workbookViewId="0">
      <selection activeCell="T31" sqref="T31"/>
    </sheetView>
  </sheetViews>
  <sheetFormatPr baseColWidth="10" defaultColWidth="8.83203125" defaultRowHeight="15" x14ac:dyDescent="0.2"/>
  <cols>
    <col min="1" max="1" width="46.1640625" bestFit="1" customWidth="1"/>
    <col min="2" max="2" width="6.83203125" bestFit="1" customWidth="1"/>
    <col min="3" max="3" width="7.1640625" bestFit="1" customWidth="1"/>
    <col min="4" max="4" width="7.6640625" bestFit="1" customWidth="1"/>
    <col min="5" max="5" width="7.1640625" bestFit="1" customWidth="1"/>
    <col min="6" max="6" width="7.83203125" bestFit="1" customWidth="1"/>
    <col min="7" max="7" width="7" bestFit="1" customWidth="1"/>
    <col min="8" max="8" width="6.33203125" bestFit="1" customWidth="1"/>
    <col min="9" max="9" width="7.5" bestFit="1" customWidth="1"/>
    <col min="10" max="10" width="7.1640625" bestFit="1" customWidth="1"/>
    <col min="11" max="11" width="7" bestFit="1" customWidth="1"/>
    <col min="12" max="12" width="7.5" bestFit="1" customWidth="1"/>
    <col min="13" max="13" width="7.33203125" bestFit="1" customWidth="1"/>
    <col min="14" max="14" width="8" bestFit="1" customWidth="1"/>
  </cols>
  <sheetData>
    <row r="1" spans="1:14" ht="15.75" customHeight="1" x14ac:dyDescent="0.2">
      <c r="A1" s="95" t="s">
        <v>0</v>
      </c>
      <c r="B1" s="413">
        <v>2024</v>
      </c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5"/>
    </row>
    <row r="2" spans="1:14" x14ac:dyDescent="0.2">
      <c r="A2" s="95" t="s">
        <v>1</v>
      </c>
      <c r="B2" s="410" t="s">
        <v>2</v>
      </c>
      <c r="C2" s="411"/>
      <c r="D2" s="412"/>
      <c r="E2" s="410" t="s">
        <v>3</v>
      </c>
      <c r="F2" s="411"/>
      <c r="G2" s="412"/>
      <c r="H2" s="410" t="s">
        <v>4</v>
      </c>
      <c r="I2" s="411"/>
      <c r="J2" s="412"/>
      <c r="K2" s="410" t="s">
        <v>5</v>
      </c>
      <c r="L2" s="411"/>
      <c r="M2" s="412"/>
      <c r="N2" s="359"/>
    </row>
    <row r="3" spans="1:14" x14ac:dyDescent="0.2">
      <c r="A3" s="99" t="s">
        <v>6</v>
      </c>
      <c r="B3" s="120">
        <v>45292</v>
      </c>
      <c r="C3" s="121">
        <v>45323</v>
      </c>
      <c r="D3" s="122">
        <v>45352</v>
      </c>
      <c r="E3" s="120">
        <v>45383</v>
      </c>
      <c r="F3" s="121">
        <v>45413</v>
      </c>
      <c r="G3" s="122">
        <v>45444</v>
      </c>
      <c r="H3" s="120">
        <v>45474</v>
      </c>
      <c r="I3" s="121">
        <v>45505</v>
      </c>
      <c r="J3" s="122">
        <v>45536</v>
      </c>
      <c r="K3" s="120">
        <v>45566</v>
      </c>
      <c r="L3" s="121">
        <v>45597</v>
      </c>
      <c r="M3" s="123">
        <v>45627</v>
      </c>
      <c r="N3" s="185"/>
    </row>
    <row r="4" spans="1:14" ht="16" thickBot="1" x14ac:dyDescent="0.25">
      <c r="A4" s="105"/>
      <c r="B4" s="273"/>
      <c r="C4" s="274"/>
      <c r="D4" s="275"/>
      <c r="E4" s="272"/>
      <c r="F4" s="182"/>
      <c r="G4" s="183"/>
      <c r="H4" s="181"/>
      <c r="I4" s="182"/>
      <c r="J4" s="183"/>
      <c r="K4" s="181"/>
      <c r="L4" s="182"/>
      <c r="M4" s="184"/>
      <c r="N4" s="119"/>
    </row>
    <row r="5" spans="1:14" x14ac:dyDescent="0.2">
      <c r="A5" s="267" t="s">
        <v>9</v>
      </c>
      <c r="B5" s="110">
        <v>45292</v>
      </c>
      <c r="C5" s="111">
        <v>45323</v>
      </c>
      <c r="D5" s="112">
        <v>45352</v>
      </c>
      <c r="E5" s="110">
        <v>45383</v>
      </c>
      <c r="F5" s="111">
        <v>45413</v>
      </c>
      <c r="G5" s="112">
        <v>45444</v>
      </c>
      <c r="H5" s="110">
        <v>45474</v>
      </c>
      <c r="I5" s="111">
        <v>45505</v>
      </c>
      <c r="J5" s="112">
        <v>45536</v>
      </c>
      <c r="K5" s="110">
        <v>45566</v>
      </c>
      <c r="L5" s="111">
        <v>45597</v>
      </c>
      <c r="M5" s="113">
        <v>45627</v>
      </c>
      <c r="N5" s="393" t="s">
        <v>7</v>
      </c>
    </row>
    <row r="6" spans="1:14" x14ac:dyDescent="0.2">
      <c r="A6" s="103" t="s">
        <v>10</v>
      </c>
      <c r="B6" s="276">
        <v>28</v>
      </c>
      <c r="C6" s="277">
        <v>28</v>
      </c>
      <c r="D6" s="278">
        <v>28</v>
      </c>
      <c r="E6" s="146">
        <v>26</v>
      </c>
      <c r="F6" s="109">
        <v>24</v>
      </c>
      <c r="G6" s="147">
        <v>26</v>
      </c>
      <c r="H6" s="146">
        <v>31</v>
      </c>
      <c r="I6" s="109">
        <v>31</v>
      </c>
      <c r="J6" s="147">
        <v>30</v>
      </c>
      <c r="K6" s="146">
        <v>29</v>
      </c>
      <c r="L6" s="109">
        <v>30</v>
      </c>
      <c r="M6" s="154">
        <v>31</v>
      </c>
      <c r="N6" s="279">
        <f>SUM(B6:M6)</f>
        <v>342</v>
      </c>
    </row>
    <row r="7" spans="1:14" x14ac:dyDescent="0.2">
      <c r="A7" s="103" t="s">
        <v>11</v>
      </c>
      <c r="B7" s="146">
        <v>153</v>
      </c>
      <c r="C7" s="109">
        <v>172</v>
      </c>
      <c r="D7" s="147">
        <v>245</v>
      </c>
      <c r="E7" s="146">
        <v>250</v>
      </c>
      <c r="F7" s="109">
        <v>129</v>
      </c>
      <c r="G7" s="147">
        <v>270</v>
      </c>
      <c r="H7" s="146">
        <v>366</v>
      </c>
      <c r="I7" s="109">
        <v>376</v>
      </c>
      <c r="J7" s="147">
        <v>396</v>
      </c>
      <c r="K7" s="146">
        <v>425</v>
      </c>
      <c r="L7" s="109">
        <v>319</v>
      </c>
      <c r="M7" s="154">
        <v>336</v>
      </c>
      <c r="N7" s="153">
        <f>SUM(B7:M7)</f>
        <v>3437</v>
      </c>
    </row>
    <row r="8" spans="1:14" x14ac:dyDescent="0.2">
      <c r="A8" s="103" t="s">
        <v>12</v>
      </c>
      <c r="B8" s="146">
        <v>329</v>
      </c>
      <c r="C8" s="109">
        <v>324</v>
      </c>
      <c r="D8" s="147">
        <v>373</v>
      </c>
      <c r="E8" s="280">
        <v>390</v>
      </c>
      <c r="F8" s="109">
        <v>250</v>
      </c>
      <c r="G8" s="147">
        <v>617</v>
      </c>
      <c r="H8" s="146">
        <v>625</v>
      </c>
      <c r="I8" s="109">
        <v>709</v>
      </c>
      <c r="J8" s="147">
        <v>706</v>
      </c>
      <c r="K8" s="146">
        <v>703</v>
      </c>
      <c r="L8" s="109">
        <v>638</v>
      </c>
      <c r="M8" s="154">
        <v>645</v>
      </c>
      <c r="N8" s="153">
        <f>SUM(B8:M8)</f>
        <v>6309</v>
      </c>
    </row>
    <row r="9" spans="1:14" ht="16" thickBot="1" x14ac:dyDescent="0.25">
      <c r="A9" s="106" t="s">
        <v>78</v>
      </c>
      <c r="B9" s="281">
        <f t="shared" ref="B9:D9" si="0">B8-B22</f>
        <v>33</v>
      </c>
      <c r="C9" s="282">
        <f t="shared" si="0"/>
        <v>45</v>
      </c>
      <c r="D9" s="283">
        <f t="shared" si="0"/>
        <v>17</v>
      </c>
      <c r="E9" s="281">
        <f>E8-E22</f>
        <v>105</v>
      </c>
      <c r="F9" s="282">
        <f>F8-F22</f>
        <v>47</v>
      </c>
      <c r="G9" s="283">
        <f>G8-G22</f>
        <v>136</v>
      </c>
      <c r="H9" s="129">
        <f>H8-H22</f>
        <v>66</v>
      </c>
      <c r="I9" s="130">
        <f>I8-I22</f>
        <v>72</v>
      </c>
      <c r="J9" s="131">
        <f>J8-609</f>
        <v>97</v>
      </c>
      <c r="K9" s="129">
        <f>K8-606</f>
        <v>97</v>
      </c>
      <c r="L9" s="130">
        <f>L8-L22</f>
        <v>97</v>
      </c>
      <c r="M9" s="132">
        <f>M8-M22</f>
        <v>103</v>
      </c>
      <c r="N9" s="133">
        <f>SUM(B9:M9)</f>
        <v>915</v>
      </c>
    </row>
    <row r="10" spans="1:14" ht="16" thickBot="1" x14ac:dyDescent="0.25">
      <c r="A10" s="99" t="s">
        <v>91</v>
      </c>
      <c r="B10" s="120">
        <v>45292</v>
      </c>
      <c r="C10" s="121">
        <v>45323</v>
      </c>
      <c r="D10" s="122">
        <v>45352</v>
      </c>
      <c r="E10" s="120">
        <v>45383</v>
      </c>
      <c r="F10" s="121">
        <v>45413</v>
      </c>
      <c r="G10" s="122">
        <v>45444</v>
      </c>
      <c r="H10" s="120">
        <v>45474</v>
      </c>
      <c r="I10" s="121">
        <v>45505</v>
      </c>
      <c r="J10" s="122">
        <v>45536</v>
      </c>
      <c r="K10" s="120">
        <v>45566</v>
      </c>
      <c r="L10" s="121">
        <v>45597</v>
      </c>
      <c r="M10" s="123">
        <v>45627</v>
      </c>
      <c r="N10" s="406"/>
    </row>
    <row r="11" spans="1:14" x14ac:dyDescent="0.2">
      <c r="A11" s="105" t="s">
        <v>15</v>
      </c>
      <c r="B11" s="284">
        <f>B7/B6</f>
        <v>5.4642857142857144</v>
      </c>
      <c r="C11" s="285">
        <f>C7/C6</f>
        <v>6.1428571428571432</v>
      </c>
      <c r="D11" s="286">
        <f>D7/D6</f>
        <v>8.75</v>
      </c>
      <c r="E11" s="284">
        <f>E7/E6</f>
        <v>9.615384615384615</v>
      </c>
      <c r="F11" s="285">
        <f>F7/F6</f>
        <v>5.375</v>
      </c>
      <c r="G11" s="143">
        <v>10.4</v>
      </c>
      <c r="H11" s="141">
        <v>11.8</v>
      </c>
      <c r="I11" s="142">
        <v>12.1</v>
      </c>
      <c r="J11" s="143">
        <v>13.2</v>
      </c>
      <c r="K11" s="141">
        <v>14.7</v>
      </c>
      <c r="L11" s="142">
        <v>10.6</v>
      </c>
      <c r="M11" s="169">
        <v>10.8</v>
      </c>
      <c r="N11" s="287">
        <f>SUM(B11:M11)/12</f>
        <v>9.9122939560439551</v>
      </c>
    </row>
    <row r="12" spans="1:14" ht="16" thickBot="1" x14ac:dyDescent="0.25">
      <c r="A12" s="106" t="s">
        <v>16</v>
      </c>
      <c r="B12" s="288">
        <v>1.8</v>
      </c>
      <c r="C12" s="289">
        <v>1.9</v>
      </c>
      <c r="D12" s="290">
        <v>2.1</v>
      </c>
      <c r="E12" s="129">
        <v>2.2999999999999998</v>
      </c>
      <c r="F12" s="130">
        <v>1.9</v>
      </c>
      <c r="G12" s="131">
        <v>4.5</v>
      </c>
      <c r="H12" s="129">
        <v>4.7</v>
      </c>
      <c r="I12" s="130">
        <v>5.3</v>
      </c>
      <c r="J12" s="131">
        <v>4.5999999999999996</v>
      </c>
      <c r="K12" s="129">
        <v>5.5</v>
      </c>
      <c r="L12" s="130">
        <v>4.4000000000000004</v>
      </c>
      <c r="M12" s="132">
        <v>4.4000000000000004</v>
      </c>
      <c r="N12" s="291">
        <f>SUM(B12:M12)/12</f>
        <v>3.6166666666666667</v>
      </c>
    </row>
    <row r="13" spans="1:14" ht="16" thickBot="1" x14ac:dyDescent="0.25">
      <c r="A13" s="99" t="s">
        <v>17</v>
      </c>
      <c r="B13" s="120">
        <v>45292</v>
      </c>
      <c r="C13" s="121">
        <v>45323</v>
      </c>
      <c r="D13" s="122">
        <v>45352</v>
      </c>
      <c r="E13" s="120">
        <v>45383</v>
      </c>
      <c r="F13" s="121">
        <v>45413</v>
      </c>
      <c r="G13" s="122">
        <v>45444</v>
      </c>
      <c r="H13" s="120">
        <v>45474</v>
      </c>
      <c r="I13" s="121">
        <v>45505</v>
      </c>
      <c r="J13" s="122">
        <v>45536</v>
      </c>
      <c r="K13" s="120">
        <v>45566</v>
      </c>
      <c r="L13" s="121">
        <v>45597</v>
      </c>
      <c r="M13" s="123">
        <v>45627</v>
      </c>
      <c r="N13" s="406"/>
    </row>
    <row r="14" spans="1:14" x14ac:dyDescent="0.2">
      <c r="A14" s="105" t="s">
        <v>18</v>
      </c>
      <c r="B14" s="229">
        <f t="shared" ref="B14:I14" si="1">B7/B8</f>
        <v>0.46504559270516715</v>
      </c>
      <c r="C14" s="144">
        <f t="shared" si="1"/>
        <v>0.53086419753086422</v>
      </c>
      <c r="D14" s="230">
        <f t="shared" si="1"/>
        <v>0.65683646112600536</v>
      </c>
      <c r="E14" s="229">
        <f t="shared" si="1"/>
        <v>0.64102564102564108</v>
      </c>
      <c r="F14" s="144">
        <f t="shared" si="1"/>
        <v>0.51600000000000001</v>
      </c>
      <c r="G14" s="230">
        <f t="shared" si="1"/>
        <v>0.43760129659643437</v>
      </c>
      <c r="H14" s="229">
        <f t="shared" si="1"/>
        <v>0.58560000000000001</v>
      </c>
      <c r="I14" s="144">
        <f t="shared" si="1"/>
        <v>0.53032440056417485</v>
      </c>
      <c r="J14" s="230">
        <f>J7/J8</f>
        <v>0.56090651558073656</v>
      </c>
      <c r="K14" s="229">
        <f>K7/K8</f>
        <v>0.60455192034139404</v>
      </c>
      <c r="L14" s="144">
        <f>L7/L8</f>
        <v>0.5</v>
      </c>
      <c r="M14" s="145">
        <f>M7/M8</f>
        <v>0.52093023255813953</v>
      </c>
      <c r="N14" s="292">
        <f>N7/N8</f>
        <v>0.54477730226660326</v>
      </c>
    </row>
    <row r="15" spans="1:14" ht="16" thickBot="1" x14ac:dyDescent="0.25">
      <c r="A15" s="103" t="s">
        <v>78</v>
      </c>
      <c r="B15" s="172">
        <f t="shared" ref="B15:G15" si="2">B9/B22</f>
        <v>0.11148648648648649</v>
      </c>
      <c r="C15" s="170">
        <f t="shared" si="2"/>
        <v>0.16129032258064516</v>
      </c>
      <c r="D15" s="171">
        <f t="shared" si="2"/>
        <v>4.7752808988764044E-2</v>
      </c>
      <c r="E15" s="172">
        <f t="shared" si="2"/>
        <v>0.36842105263157893</v>
      </c>
      <c r="F15" s="170">
        <f t="shared" si="2"/>
        <v>0.23152709359605911</v>
      </c>
      <c r="G15" s="171">
        <f t="shared" si="2"/>
        <v>0.28274428274428276</v>
      </c>
      <c r="H15" s="172">
        <f t="shared" ref="H15:M15" si="3">H9/H22</f>
        <v>0.11806797853309481</v>
      </c>
      <c r="I15" s="170">
        <f t="shared" si="3"/>
        <v>0.11302982731554161</v>
      </c>
      <c r="J15" s="171">
        <f t="shared" si="3"/>
        <v>0.15927750410509031</v>
      </c>
      <c r="K15" s="172">
        <f t="shared" si="3"/>
        <v>0.16006600660066006</v>
      </c>
      <c r="L15" s="170">
        <f t="shared" si="3"/>
        <v>0.17929759704251386</v>
      </c>
      <c r="M15" s="173">
        <f t="shared" si="3"/>
        <v>0.1900369003690037</v>
      </c>
      <c r="N15" s="189">
        <f>N9/N8</f>
        <v>0.14503090822634332</v>
      </c>
    </row>
    <row r="16" spans="1:14" ht="16" thickBot="1" x14ac:dyDescent="0.25">
      <c r="A16" s="106"/>
      <c r="B16" s="204"/>
      <c r="C16" s="205"/>
      <c r="D16" s="293"/>
      <c r="E16" s="129"/>
      <c r="F16" s="130"/>
      <c r="G16" s="131"/>
      <c r="H16" s="129"/>
      <c r="I16" s="130"/>
      <c r="J16" s="131"/>
      <c r="K16" s="129"/>
      <c r="L16" s="130"/>
      <c r="M16" s="132"/>
      <c r="N16" s="168"/>
    </row>
    <row r="17" spans="1:14" ht="16" thickBot="1" x14ac:dyDescent="0.25">
      <c r="A17" s="99" t="s">
        <v>19</v>
      </c>
      <c r="B17" s="120">
        <v>45292</v>
      </c>
      <c r="C17" s="121">
        <v>45323</v>
      </c>
      <c r="D17" s="122">
        <v>45352</v>
      </c>
      <c r="E17" s="120">
        <v>45383</v>
      </c>
      <c r="F17" s="121">
        <v>45413</v>
      </c>
      <c r="G17" s="122">
        <v>45444</v>
      </c>
      <c r="H17" s="120">
        <v>45474</v>
      </c>
      <c r="I17" s="121">
        <v>45505</v>
      </c>
      <c r="J17" s="122">
        <v>45536</v>
      </c>
      <c r="K17" s="120">
        <v>45566</v>
      </c>
      <c r="L17" s="121">
        <v>45597</v>
      </c>
      <c r="M17" s="123">
        <v>45627</v>
      </c>
      <c r="N17" s="393" t="s">
        <v>7</v>
      </c>
    </row>
    <row r="18" spans="1:14" x14ac:dyDescent="0.2">
      <c r="A18" s="105" t="s">
        <v>20</v>
      </c>
      <c r="B18" s="141">
        <v>175</v>
      </c>
      <c r="C18" s="142">
        <v>149</v>
      </c>
      <c r="D18" s="143">
        <v>143</v>
      </c>
      <c r="E18" s="141">
        <v>97</v>
      </c>
      <c r="F18" s="142">
        <v>92</v>
      </c>
      <c r="G18" s="143">
        <v>266</v>
      </c>
      <c r="H18" s="141">
        <v>252</v>
      </c>
      <c r="I18" s="142">
        <v>292</v>
      </c>
      <c r="J18" s="143">
        <v>259</v>
      </c>
      <c r="K18" s="141">
        <v>277</v>
      </c>
      <c r="L18" s="142">
        <v>265</v>
      </c>
      <c r="M18" s="169">
        <v>259</v>
      </c>
      <c r="N18" s="397">
        <f>SUM(B18:M18)</f>
        <v>2526</v>
      </c>
    </row>
    <row r="19" spans="1:14" x14ac:dyDescent="0.2">
      <c r="A19" s="103" t="s">
        <v>21</v>
      </c>
      <c r="B19" s="146">
        <v>44</v>
      </c>
      <c r="C19" s="109">
        <v>51</v>
      </c>
      <c r="D19" s="147">
        <v>64</v>
      </c>
      <c r="E19" s="146">
        <v>116</v>
      </c>
      <c r="F19" s="109">
        <v>68</v>
      </c>
      <c r="G19" s="147">
        <v>106</v>
      </c>
      <c r="H19" s="146">
        <v>135</v>
      </c>
      <c r="I19" s="109">
        <v>145</v>
      </c>
      <c r="J19" s="147">
        <v>135</v>
      </c>
      <c r="K19" s="146">
        <v>116</v>
      </c>
      <c r="L19" s="109">
        <v>107</v>
      </c>
      <c r="M19" s="154">
        <v>113</v>
      </c>
      <c r="N19" s="153">
        <f>SUM(B19:M19)</f>
        <v>1200</v>
      </c>
    </row>
    <row r="20" spans="1:14" x14ac:dyDescent="0.2">
      <c r="A20" s="103" t="s">
        <v>22</v>
      </c>
      <c r="B20" s="146">
        <v>2</v>
      </c>
      <c r="C20" s="109">
        <v>8</v>
      </c>
      <c r="D20" s="147">
        <v>87</v>
      </c>
      <c r="E20" s="146">
        <v>56</v>
      </c>
      <c r="F20" s="109">
        <v>21</v>
      </c>
      <c r="G20" s="147">
        <v>79</v>
      </c>
      <c r="H20" s="146">
        <v>112</v>
      </c>
      <c r="I20" s="109">
        <v>124</v>
      </c>
      <c r="J20" s="147">
        <v>161</v>
      </c>
      <c r="K20" s="146">
        <v>138</v>
      </c>
      <c r="L20" s="109">
        <v>129</v>
      </c>
      <c r="M20" s="154">
        <v>124</v>
      </c>
      <c r="N20" s="153">
        <f t="shared" ref="N20:N21" si="4">SUM(B20:M20)</f>
        <v>1041</v>
      </c>
    </row>
    <row r="21" spans="1:14" ht="16" thickBot="1" x14ac:dyDescent="0.25">
      <c r="A21" s="106" t="s">
        <v>23</v>
      </c>
      <c r="B21" s="129">
        <v>75</v>
      </c>
      <c r="C21" s="130">
        <v>71</v>
      </c>
      <c r="D21" s="131">
        <v>62</v>
      </c>
      <c r="E21" s="129">
        <v>16</v>
      </c>
      <c r="F21" s="130">
        <v>22</v>
      </c>
      <c r="G21" s="131">
        <v>30</v>
      </c>
      <c r="H21" s="129">
        <v>60</v>
      </c>
      <c r="I21" s="130">
        <v>76</v>
      </c>
      <c r="J21" s="131">
        <v>54</v>
      </c>
      <c r="K21" s="129">
        <v>75</v>
      </c>
      <c r="L21" s="130">
        <v>40</v>
      </c>
      <c r="M21" s="132">
        <v>46</v>
      </c>
      <c r="N21" s="133">
        <f t="shared" si="4"/>
        <v>627</v>
      </c>
    </row>
    <row r="22" spans="1:14" ht="16" thickBot="1" x14ac:dyDescent="0.25">
      <c r="A22" s="99" t="s">
        <v>24</v>
      </c>
      <c r="B22" s="139">
        <f t="shared" ref="B22:I22" si="5">SUM(B18:B21)</f>
        <v>296</v>
      </c>
      <c r="C22" s="137">
        <f t="shared" si="5"/>
        <v>279</v>
      </c>
      <c r="D22" s="138">
        <f t="shared" si="5"/>
        <v>356</v>
      </c>
      <c r="E22" s="139">
        <f t="shared" si="5"/>
        <v>285</v>
      </c>
      <c r="F22" s="137">
        <f t="shared" si="5"/>
        <v>203</v>
      </c>
      <c r="G22" s="138">
        <f t="shared" si="5"/>
        <v>481</v>
      </c>
      <c r="H22" s="139">
        <f t="shared" si="5"/>
        <v>559</v>
      </c>
      <c r="I22" s="137">
        <f t="shared" si="5"/>
        <v>637</v>
      </c>
      <c r="J22" s="138">
        <f>SUM(J18:J21)</f>
        <v>609</v>
      </c>
      <c r="K22" s="139">
        <f>SUM(K18:K21)</f>
        <v>606</v>
      </c>
      <c r="L22" s="137">
        <f>SUM(L18:L21)</f>
        <v>541</v>
      </c>
      <c r="M22" s="140">
        <f>SUM(M18:M21)</f>
        <v>542</v>
      </c>
      <c r="N22" s="406">
        <f>SUM(B22:M22)</f>
        <v>5394</v>
      </c>
    </row>
    <row r="23" spans="1:14" x14ac:dyDescent="0.2">
      <c r="A23" s="105" t="s">
        <v>17</v>
      </c>
      <c r="B23" s="273">
        <v>45292</v>
      </c>
      <c r="C23" s="274">
        <v>45323</v>
      </c>
      <c r="D23" s="275">
        <v>45352</v>
      </c>
      <c r="E23" s="273">
        <v>45383</v>
      </c>
      <c r="F23" s="274">
        <v>45413</v>
      </c>
      <c r="G23" s="275">
        <v>45444</v>
      </c>
      <c r="H23" s="273">
        <v>45474</v>
      </c>
      <c r="I23" s="274">
        <v>45505</v>
      </c>
      <c r="J23" s="275">
        <v>45536</v>
      </c>
      <c r="K23" s="273">
        <v>45566</v>
      </c>
      <c r="L23" s="274">
        <v>45597</v>
      </c>
      <c r="M23" s="294">
        <v>45627</v>
      </c>
      <c r="N23" s="397"/>
    </row>
    <row r="24" spans="1:14" x14ac:dyDescent="0.2">
      <c r="A24" s="103" t="s">
        <v>20</v>
      </c>
      <c r="B24" s="172">
        <f t="shared" ref="B24:H24" si="6">B18/B22</f>
        <v>0.59121621621621623</v>
      </c>
      <c r="C24" s="170">
        <f t="shared" si="6"/>
        <v>0.53405017921146958</v>
      </c>
      <c r="D24" s="171">
        <f t="shared" si="6"/>
        <v>0.40168539325842695</v>
      </c>
      <c r="E24" s="172">
        <f t="shared" si="6"/>
        <v>0.34035087719298246</v>
      </c>
      <c r="F24" s="170">
        <f t="shared" si="6"/>
        <v>0.45320197044334976</v>
      </c>
      <c r="G24" s="171">
        <f t="shared" si="6"/>
        <v>0.55301455301455305</v>
      </c>
      <c r="H24" s="172">
        <f t="shared" si="6"/>
        <v>0.45080500894454384</v>
      </c>
      <c r="I24" s="170">
        <f t="shared" ref="I24" si="7">I18/I22</f>
        <v>0.45839874411302983</v>
      </c>
      <c r="J24" s="295">
        <f>J18/J22</f>
        <v>0.42528735632183906</v>
      </c>
      <c r="K24" s="296">
        <f>K18/K22</f>
        <v>0.45709570957095708</v>
      </c>
      <c r="L24" s="297">
        <f>L18/L22</f>
        <v>0.4898336414048059</v>
      </c>
      <c r="M24" s="298">
        <f>M18/M22</f>
        <v>0.477859778597786</v>
      </c>
      <c r="N24" s="188">
        <f>N18/N22</f>
        <v>0.46829810901001112</v>
      </c>
    </row>
    <row r="25" spans="1:14" x14ac:dyDescent="0.2">
      <c r="A25" s="103" t="s">
        <v>21</v>
      </c>
      <c r="B25" s="172">
        <f t="shared" ref="B25:H25" si="8">B19/B22</f>
        <v>0.14864864864864866</v>
      </c>
      <c r="C25" s="170">
        <f t="shared" si="8"/>
        <v>0.18279569892473119</v>
      </c>
      <c r="D25" s="171">
        <f t="shared" si="8"/>
        <v>0.1797752808988764</v>
      </c>
      <c r="E25" s="172">
        <f t="shared" si="8"/>
        <v>0.40701754385964911</v>
      </c>
      <c r="F25" s="170">
        <f t="shared" si="8"/>
        <v>0.33497536945812806</v>
      </c>
      <c r="G25" s="171">
        <f t="shared" si="8"/>
        <v>0.22037422037422039</v>
      </c>
      <c r="H25" s="172">
        <f t="shared" si="8"/>
        <v>0.24150268336314848</v>
      </c>
      <c r="I25" s="170">
        <f t="shared" ref="I25" si="9">I19/I22</f>
        <v>0.22762951334379905</v>
      </c>
      <c r="J25" s="295">
        <f>J19/J22</f>
        <v>0.22167487684729065</v>
      </c>
      <c r="K25" s="296">
        <f>K19/K22</f>
        <v>0.19141914191419143</v>
      </c>
      <c r="L25" s="297">
        <f>L19/L22</f>
        <v>0.1977818853974122</v>
      </c>
      <c r="M25" s="298">
        <f>M19/M22</f>
        <v>0.20848708487084872</v>
      </c>
      <c r="N25" s="188">
        <f>N19/N22</f>
        <v>0.22246941045606228</v>
      </c>
    </row>
    <row r="26" spans="1:14" x14ac:dyDescent="0.2">
      <c r="A26" s="103" t="s">
        <v>22</v>
      </c>
      <c r="B26" s="172">
        <f t="shared" ref="B26:H26" si="10">B20/B22</f>
        <v>6.7567567567567571E-3</v>
      </c>
      <c r="C26" s="170">
        <f t="shared" si="10"/>
        <v>2.8673835125448029E-2</v>
      </c>
      <c r="D26" s="171">
        <f t="shared" si="10"/>
        <v>0.2443820224719101</v>
      </c>
      <c r="E26" s="172">
        <f t="shared" si="10"/>
        <v>0.19649122807017544</v>
      </c>
      <c r="F26" s="170">
        <f t="shared" si="10"/>
        <v>0.10344827586206896</v>
      </c>
      <c r="G26" s="171">
        <f t="shared" si="10"/>
        <v>0.16424116424116425</v>
      </c>
      <c r="H26" s="172">
        <f t="shared" si="10"/>
        <v>0.2003577817531306</v>
      </c>
      <c r="I26" s="170">
        <f t="shared" ref="I26" si="11">I20/I22</f>
        <v>0.19466248037676609</v>
      </c>
      <c r="J26" s="295">
        <f>J20/J22</f>
        <v>0.26436781609195403</v>
      </c>
      <c r="K26" s="296">
        <f>K20/K22</f>
        <v>0.22772277227722773</v>
      </c>
      <c r="L26" s="297">
        <f>L20/L22</f>
        <v>0.23844731977818853</v>
      </c>
      <c r="M26" s="298">
        <f>M20/M22</f>
        <v>0.22878228782287824</v>
      </c>
      <c r="N26" s="188">
        <f>N20/N22</f>
        <v>0.19299221357063404</v>
      </c>
    </row>
    <row r="27" spans="1:14" ht="16" thickBot="1" x14ac:dyDescent="0.25">
      <c r="A27" s="107" t="s">
        <v>23</v>
      </c>
      <c r="B27" s="160">
        <f t="shared" ref="B27:H27" si="12">B21/B22</f>
        <v>0.2533783783783784</v>
      </c>
      <c r="C27" s="158">
        <f t="shared" si="12"/>
        <v>0.25448028673835127</v>
      </c>
      <c r="D27" s="159">
        <f t="shared" si="12"/>
        <v>0.17415730337078653</v>
      </c>
      <c r="E27" s="160">
        <f t="shared" si="12"/>
        <v>5.6140350877192984E-2</v>
      </c>
      <c r="F27" s="158">
        <f t="shared" si="12"/>
        <v>0.10837438423645321</v>
      </c>
      <c r="G27" s="159">
        <f t="shared" si="12"/>
        <v>6.2370062370062374E-2</v>
      </c>
      <c r="H27" s="160">
        <f t="shared" si="12"/>
        <v>0.1073345259391771</v>
      </c>
      <c r="I27" s="158">
        <f t="shared" ref="I27" si="13">I21/I22</f>
        <v>0.11930926216640503</v>
      </c>
      <c r="J27" s="299">
        <f>J21/J22</f>
        <v>8.8669950738916259E-2</v>
      </c>
      <c r="K27" s="300">
        <f>K21/K22</f>
        <v>0.12376237623762376</v>
      </c>
      <c r="L27" s="301">
        <f>L21/L22</f>
        <v>7.3937153419593352E-2</v>
      </c>
      <c r="M27" s="302">
        <f>M21/M22</f>
        <v>8.4870848708487087E-2</v>
      </c>
      <c r="N27" s="189">
        <f>N21/N22</f>
        <v>0.11624026696329255</v>
      </c>
    </row>
    <row r="28" spans="1:14" ht="16" thickBot="1" x14ac:dyDescent="0.25">
      <c r="A28" s="44"/>
      <c r="B28" s="163"/>
      <c r="C28" s="164"/>
      <c r="D28" s="165"/>
      <c r="E28" s="163"/>
      <c r="F28" s="164"/>
      <c r="G28" s="165"/>
      <c r="H28" s="163"/>
      <c r="I28" s="164"/>
      <c r="J28" s="165"/>
      <c r="K28" s="163"/>
      <c r="L28" s="164"/>
      <c r="M28" s="180"/>
      <c r="N28" s="168"/>
    </row>
    <row r="29" spans="1:14" ht="16" thickBot="1" x14ac:dyDescent="0.25">
      <c r="A29" s="99" t="s">
        <v>25</v>
      </c>
      <c r="B29" s="120">
        <v>45292</v>
      </c>
      <c r="C29" s="121">
        <v>45323</v>
      </c>
      <c r="D29" s="122">
        <v>45352</v>
      </c>
      <c r="E29" s="120">
        <v>45383</v>
      </c>
      <c r="F29" s="121">
        <v>45413</v>
      </c>
      <c r="G29" s="122">
        <v>45444</v>
      </c>
      <c r="H29" s="120">
        <v>45474</v>
      </c>
      <c r="I29" s="121">
        <v>45505</v>
      </c>
      <c r="J29" s="122">
        <v>45536</v>
      </c>
      <c r="K29" s="120">
        <v>45566</v>
      </c>
      <c r="L29" s="121">
        <v>45597</v>
      </c>
      <c r="M29" s="123">
        <v>45627</v>
      </c>
      <c r="N29" s="406" t="s">
        <v>7</v>
      </c>
    </row>
    <row r="30" spans="1:14" x14ac:dyDescent="0.2">
      <c r="A30" s="105" t="s">
        <v>26</v>
      </c>
      <c r="B30" s="141">
        <v>140</v>
      </c>
      <c r="C30" s="142">
        <v>109</v>
      </c>
      <c r="D30" s="143">
        <v>142</v>
      </c>
      <c r="E30" s="141">
        <v>108</v>
      </c>
      <c r="F30" s="142">
        <v>65</v>
      </c>
      <c r="G30" s="143">
        <v>236</v>
      </c>
      <c r="H30" s="141">
        <v>306</v>
      </c>
      <c r="I30" s="142">
        <v>383</v>
      </c>
      <c r="J30" s="143">
        <v>343</v>
      </c>
      <c r="K30" s="141">
        <v>343</v>
      </c>
      <c r="L30" s="142">
        <v>343</v>
      </c>
      <c r="M30" s="169">
        <v>341</v>
      </c>
      <c r="N30" s="397">
        <f>SUM(B30:M30)</f>
        <v>2859</v>
      </c>
    </row>
    <row r="31" spans="1:14" x14ac:dyDescent="0.2">
      <c r="A31" s="103" t="s">
        <v>27</v>
      </c>
      <c r="B31" s="146">
        <v>26</v>
      </c>
      <c r="C31" s="109">
        <v>113</v>
      </c>
      <c r="D31" s="147">
        <v>136</v>
      </c>
      <c r="E31" s="146">
        <v>111</v>
      </c>
      <c r="F31" s="109">
        <v>79</v>
      </c>
      <c r="G31" s="147">
        <v>148</v>
      </c>
      <c r="H31" s="146">
        <v>130</v>
      </c>
      <c r="I31" s="109">
        <v>164</v>
      </c>
      <c r="J31" s="147">
        <v>156</v>
      </c>
      <c r="K31" s="146">
        <v>161</v>
      </c>
      <c r="L31" s="109">
        <v>131</v>
      </c>
      <c r="M31" s="154">
        <v>125</v>
      </c>
      <c r="N31" s="153">
        <f t="shared" ref="N31:N36" si="14">SUM(B31:M31)</f>
        <v>1480</v>
      </c>
    </row>
    <row r="32" spans="1:14" x14ac:dyDescent="0.2">
      <c r="A32" s="103" t="s">
        <v>28</v>
      </c>
      <c r="B32" s="146">
        <v>110</v>
      </c>
      <c r="C32" s="109">
        <v>39</v>
      </c>
      <c r="D32" s="147">
        <v>54</v>
      </c>
      <c r="E32" s="146">
        <v>40</v>
      </c>
      <c r="F32" s="109">
        <v>42</v>
      </c>
      <c r="G32" s="147">
        <v>71</v>
      </c>
      <c r="H32" s="146">
        <v>65</v>
      </c>
      <c r="I32" s="109">
        <v>73</v>
      </c>
      <c r="J32" s="147">
        <v>103</v>
      </c>
      <c r="K32" s="146">
        <v>86</v>
      </c>
      <c r="L32" s="109">
        <v>60</v>
      </c>
      <c r="M32" s="154">
        <v>64</v>
      </c>
      <c r="N32" s="153">
        <f t="shared" si="14"/>
        <v>807</v>
      </c>
    </row>
    <row r="33" spans="1:14" x14ac:dyDescent="0.2">
      <c r="A33" s="103" t="s">
        <v>29</v>
      </c>
      <c r="B33" s="146">
        <v>1</v>
      </c>
      <c r="C33" s="109">
        <v>7</v>
      </c>
      <c r="D33" s="147">
        <v>6</v>
      </c>
      <c r="E33" s="146">
        <v>12</v>
      </c>
      <c r="F33" s="109">
        <v>5</v>
      </c>
      <c r="G33" s="147">
        <v>6</v>
      </c>
      <c r="H33" s="146">
        <v>2</v>
      </c>
      <c r="I33" s="109"/>
      <c r="J33" s="147">
        <v>4</v>
      </c>
      <c r="K33" s="146">
        <v>6</v>
      </c>
      <c r="L33" s="109">
        <v>2</v>
      </c>
      <c r="M33" s="154">
        <v>2</v>
      </c>
      <c r="N33" s="153">
        <f t="shared" si="14"/>
        <v>53</v>
      </c>
    </row>
    <row r="34" spans="1:14" x14ac:dyDescent="0.2">
      <c r="A34" s="103" t="s">
        <v>30</v>
      </c>
      <c r="B34" s="146">
        <v>19</v>
      </c>
      <c r="C34" s="109">
        <v>9</v>
      </c>
      <c r="D34" s="147">
        <v>15</v>
      </c>
      <c r="E34" s="146">
        <v>9</v>
      </c>
      <c r="F34" s="109">
        <v>6</v>
      </c>
      <c r="G34" s="147">
        <v>11</v>
      </c>
      <c r="H34" s="146">
        <v>6</v>
      </c>
      <c r="I34" s="109">
        <v>4</v>
      </c>
      <c r="J34" s="147">
        <v>3</v>
      </c>
      <c r="K34" s="146">
        <v>10</v>
      </c>
      <c r="L34" s="109">
        <v>5</v>
      </c>
      <c r="M34" s="154">
        <v>10</v>
      </c>
      <c r="N34" s="153">
        <f t="shared" si="14"/>
        <v>107</v>
      </c>
    </row>
    <row r="35" spans="1:14" ht="16" thickBot="1" x14ac:dyDescent="0.25">
      <c r="A35" s="106" t="s">
        <v>31</v>
      </c>
      <c r="B35" s="129"/>
      <c r="C35" s="130">
        <v>2</v>
      </c>
      <c r="D35" s="131">
        <v>3</v>
      </c>
      <c r="E35" s="129">
        <v>8</v>
      </c>
      <c r="F35" s="130">
        <v>6</v>
      </c>
      <c r="G35" s="131">
        <v>9</v>
      </c>
      <c r="H35" s="129">
        <v>50</v>
      </c>
      <c r="I35" s="130">
        <v>13</v>
      </c>
      <c r="J35" s="131"/>
      <c r="K35" s="129"/>
      <c r="L35" s="130"/>
      <c r="M35" s="132"/>
      <c r="N35" s="133">
        <f t="shared" si="14"/>
        <v>91</v>
      </c>
    </row>
    <row r="36" spans="1:14" ht="16" thickBot="1" x14ac:dyDescent="0.25">
      <c r="A36" s="99" t="s">
        <v>24</v>
      </c>
      <c r="B36" s="139">
        <f t="shared" ref="B36:I36" si="15">SUM(B30:B35)</f>
        <v>296</v>
      </c>
      <c r="C36" s="137">
        <f t="shared" si="15"/>
        <v>279</v>
      </c>
      <c r="D36" s="138">
        <f t="shared" si="15"/>
        <v>356</v>
      </c>
      <c r="E36" s="139">
        <f t="shared" si="15"/>
        <v>288</v>
      </c>
      <c r="F36" s="137">
        <f t="shared" si="15"/>
        <v>203</v>
      </c>
      <c r="G36" s="138">
        <f t="shared" si="15"/>
        <v>481</v>
      </c>
      <c r="H36" s="139">
        <f t="shared" si="15"/>
        <v>559</v>
      </c>
      <c r="I36" s="137">
        <f t="shared" si="15"/>
        <v>637</v>
      </c>
      <c r="J36" s="138">
        <f>SUM(J30:J35)</f>
        <v>609</v>
      </c>
      <c r="K36" s="139">
        <f>SUM(K30:K35)</f>
        <v>606</v>
      </c>
      <c r="L36" s="137">
        <f>SUM(L30:L35)</f>
        <v>541</v>
      </c>
      <c r="M36" s="140">
        <f>SUM(M30:M35)</f>
        <v>542</v>
      </c>
      <c r="N36" s="406">
        <f t="shared" si="14"/>
        <v>5397</v>
      </c>
    </row>
    <row r="37" spans="1:14" x14ac:dyDescent="0.2">
      <c r="A37" s="105" t="s">
        <v>17</v>
      </c>
      <c r="B37" s="273">
        <v>45292</v>
      </c>
      <c r="C37" s="274">
        <v>45323</v>
      </c>
      <c r="D37" s="275">
        <v>45352</v>
      </c>
      <c r="E37" s="273">
        <v>45383</v>
      </c>
      <c r="F37" s="274">
        <v>45413</v>
      </c>
      <c r="G37" s="275">
        <v>45444</v>
      </c>
      <c r="H37" s="273">
        <v>45474</v>
      </c>
      <c r="I37" s="274">
        <v>45505</v>
      </c>
      <c r="J37" s="275">
        <v>45536</v>
      </c>
      <c r="K37" s="273">
        <v>45566</v>
      </c>
      <c r="L37" s="274">
        <v>45597</v>
      </c>
      <c r="M37" s="294">
        <v>45627</v>
      </c>
      <c r="N37" s="397"/>
    </row>
    <row r="38" spans="1:14" x14ac:dyDescent="0.2">
      <c r="A38" s="103" t="s">
        <v>26</v>
      </c>
      <c r="B38" s="172">
        <f t="shared" ref="B38:E38" si="16">B30/B36</f>
        <v>0.47297297297297297</v>
      </c>
      <c r="C38" s="170">
        <f t="shared" si="16"/>
        <v>0.39068100358422941</v>
      </c>
      <c r="D38" s="171">
        <f t="shared" si="16"/>
        <v>0.398876404494382</v>
      </c>
      <c r="E38" s="172">
        <f t="shared" si="16"/>
        <v>0.375</v>
      </c>
      <c r="F38" s="170">
        <f t="shared" ref="F38:G38" si="17">F30/F36</f>
        <v>0.32019704433497537</v>
      </c>
      <c r="G38" s="171">
        <f t="shared" si="17"/>
        <v>0.49064449064449067</v>
      </c>
      <c r="H38" s="172">
        <f t="shared" ref="H38:I38" si="18">H30/H36</f>
        <v>0.54740608228980325</v>
      </c>
      <c r="I38" s="170">
        <f t="shared" si="18"/>
        <v>0.60125588697017274</v>
      </c>
      <c r="J38" s="171">
        <f>J30/J36</f>
        <v>0.56321839080459768</v>
      </c>
      <c r="K38" s="172">
        <f>K30/K36</f>
        <v>0.56600660066006603</v>
      </c>
      <c r="L38" s="170">
        <f>L30/L36</f>
        <v>0.63401109057301297</v>
      </c>
      <c r="M38" s="173">
        <f>M30/M36</f>
        <v>0.62915129151291516</v>
      </c>
      <c r="N38" s="188">
        <f>N30/$N$36</f>
        <v>0.52973874374652585</v>
      </c>
    </row>
    <row r="39" spans="1:14" x14ac:dyDescent="0.2">
      <c r="A39" s="103" t="s">
        <v>27</v>
      </c>
      <c r="B39" s="172">
        <f t="shared" ref="B39:E39" si="19">B31/B36</f>
        <v>8.7837837837837843E-2</v>
      </c>
      <c r="C39" s="170">
        <f t="shared" si="19"/>
        <v>0.4050179211469534</v>
      </c>
      <c r="D39" s="171">
        <f t="shared" si="19"/>
        <v>0.38202247191011235</v>
      </c>
      <c r="E39" s="172">
        <f t="shared" si="19"/>
        <v>0.38541666666666669</v>
      </c>
      <c r="F39" s="170">
        <f t="shared" ref="F39:G39" si="20">F31/F36</f>
        <v>0.3891625615763547</v>
      </c>
      <c r="G39" s="171">
        <f t="shared" si="20"/>
        <v>0.30769230769230771</v>
      </c>
      <c r="H39" s="172">
        <f t="shared" ref="H39:I39" si="21">H31/H36</f>
        <v>0.23255813953488372</v>
      </c>
      <c r="I39" s="170">
        <f t="shared" si="21"/>
        <v>0.25745682888540034</v>
      </c>
      <c r="J39" s="171">
        <f>J31/J36</f>
        <v>0.25615763546798032</v>
      </c>
      <c r="K39" s="172">
        <f>K31/K36</f>
        <v>0.26567656765676567</v>
      </c>
      <c r="L39" s="170">
        <f>L31/L36</f>
        <v>0.24214417744916822</v>
      </c>
      <c r="M39" s="173">
        <f>M31/M36</f>
        <v>0.23062730627306274</v>
      </c>
      <c r="N39" s="188">
        <f t="shared" ref="N39:N43" si="22">N31/$N$36</f>
        <v>0.27422642208634429</v>
      </c>
    </row>
    <row r="40" spans="1:14" x14ac:dyDescent="0.2">
      <c r="A40" s="103" t="s">
        <v>28</v>
      </c>
      <c r="B40" s="172">
        <f t="shared" ref="B40:E40" si="23">B32/B36</f>
        <v>0.3716216216216216</v>
      </c>
      <c r="C40" s="170">
        <f t="shared" si="23"/>
        <v>0.13978494623655913</v>
      </c>
      <c r="D40" s="171">
        <f t="shared" si="23"/>
        <v>0.15168539325842698</v>
      </c>
      <c r="E40" s="172">
        <f t="shared" si="23"/>
        <v>0.1388888888888889</v>
      </c>
      <c r="F40" s="170">
        <f t="shared" ref="F40:G40" si="24">F32/F36</f>
        <v>0.20689655172413793</v>
      </c>
      <c r="G40" s="171">
        <f t="shared" si="24"/>
        <v>0.14760914760914762</v>
      </c>
      <c r="H40" s="172">
        <f t="shared" ref="H40:I40" si="25">H32/H36</f>
        <v>0.11627906976744186</v>
      </c>
      <c r="I40" s="170">
        <f t="shared" si="25"/>
        <v>0.11459968602825746</v>
      </c>
      <c r="J40" s="171">
        <f>J32/J36</f>
        <v>0.16912972085385877</v>
      </c>
      <c r="K40" s="172">
        <f>K32/K36</f>
        <v>0.14191419141914191</v>
      </c>
      <c r="L40" s="170">
        <f>L32/L36</f>
        <v>0.11090573012939002</v>
      </c>
      <c r="M40" s="173">
        <f>M32/M36</f>
        <v>0.11808118081180811</v>
      </c>
      <c r="N40" s="188">
        <f t="shared" si="22"/>
        <v>0.14952751528627015</v>
      </c>
    </row>
    <row r="41" spans="1:14" x14ac:dyDescent="0.2">
      <c r="A41" s="103" t="s">
        <v>32</v>
      </c>
      <c r="B41" s="172">
        <f t="shared" ref="B41:E41" si="26">B33/B36</f>
        <v>3.3783783783783786E-3</v>
      </c>
      <c r="C41" s="170">
        <f t="shared" si="26"/>
        <v>2.5089605734767026E-2</v>
      </c>
      <c r="D41" s="171">
        <f t="shared" si="26"/>
        <v>1.6853932584269662E-2</v>
      </c>
      <c r="E41" s="172">
        <f t="shared" si="26"/>
        <v>4.1666666666666664E-2</v>
      </c>
      <c r="F41" s="170">
        <f t="shared" ref="F41:G41" si="27">F33/F36</f>
        <v>2.4630541871921183E-2</v>
      </c>
      <c r="G41" s="171">
        <f t="shared" si="27"/>
        <v>1.2474012474012475E-2</v>
      </c>
      <c r="H41" s="172">
        <f t="shared" ref="H41:I41" si="28">H33/H36</f>
        <v>3.5778175313059034E-3</v>
      </c>
      <c r="I41" s="170">
        <f t="shared" si="28"/>
        <v>0</v>
      </c>
      <c r="J41" s="171">
        <f>J33/J36</f>
        <v>6.5681444991789817E-3</v>
      </c>
      <c r="K41" s="172">
        <f>K33/K36</f>
        <v>9.9009900990099011E-3</v>
      </c>
      <c r="L41" s="170">
        <f>L33/L36</f>
        <v>3.6968576709796672E-3</v>
      </c>
      <c r="M41" s="173">
        <f>M33/M36</f>
        <v>3.6900369003690036E-3</v>
      </c>
      <c r="N41" s="188">
        <f t="shared" si="22"/>
        <v>9.8202705206596255E-3</v>
      </c>
    </row>
    <row r="42" spans="1:14" x14ac:dyDescent="0.2">
      <c r="A42" s="103" t="s">
        <v>30</v>
      </c>
      <c r="B42" s="172">
        <f t="shared" ref="B42:E42" si="29">B34/B36</f>
        <v>6.4189189189189186E-2</v>
      </c>
      <c r="C42" s="170">
        <f t="shared" si="29"/>
        <v>3.2258064516129031E-2</v>
      </c>
      <c r="D42" s="171">
        <f t="shared" si="29"/>
        <v>4.2134831460674156E-2</v>
      </c>
      <c r="E42" s="172">
        <f t="shared" si="29"/>
        <v>3.125E-2</v>
      </c>
      <c r="F42" s="170">
        <f t="shared" ref="F42:G42" si="30">F34/F36</f>
        <v>2.9556650246305417E-2</v>
      </c>
      <c r="G42" s="171">
        <f t="shared" si="30"/>
        <v>2.286902286902287E-2</v>
      </c>
      <c r="H42" s="172">
        <f t="shared" ref="H42:I42" si="31">H34/H36</f>
        <v>1.0733452593917709E-2</v>
      </c>
      <c r="I42" s="170">
        <f t="shared" si="31"/>
        <v>6.2794348508634227E-3</v>
      </c>
      <c r="J42" s="171">
        <f>J34/J36</f>
        <v>4.9261083743842365E-3</v>
      </c>
      <c r="K42" s="172">
        <f>K34/K36</f>
        <v>1.65016501650165E-2</v>
      </c>
      <c r="L42" s="170">
        <f>L34/L36</f>
        <v>9.242144177449169E-3</v>
      </c>
      <c r="M42" s="173">
        <f>M34/M36</f>
        <v>1.8450184501845018E-2</v>
      </c>
      <c r="N42" s="188">
        <f t="shared" si="22"/>
        <v>1.9825829164350564E-2</v>
      </c>
    </row>
    <row r="43" spans="1:14" ht="16" thickBot="1" x14ac:dyDescent="0.25">
      <c r="A43" s="107" t="s">
        <v>31</v>
      </c>
      <c r="B43" s="160">
        <f t="shared" ref="B43:E43" si="32">B35/B36</f>
        <v>0</v>
      </c>
      <c r="C43" s="158">
        <f t="shared" si="32"/>
        <v>7.1684587813620072E-3</v>
      </c>
      <c r="D43" s="159">
        <f t="shared" si="32"/>
        <v>8.4269662921348312E-3</v>
      </c>
      <c r="E43" s="160">
        <f t="shared" si="32"/>
        <v>2.7777777777777776E-2</v>
      </c>
      <c r="F43" s="158">
        <f t="shared" ref="F43:G43" si="33">F35/F36</f>
        <v>2.9556650246305417E-2</v>
      </c>
      <c r="G43" s="159">
        <f t="shared" si="33"/>
        <v>1.8711018711018712E-2</v>
      </c>
      <c r="H43" s="160">
        <f t="shared" ref="H43:I43" si="34">H35/H36</f>
        <v>8.9445438282647588E-2</v>
      </c>
      <c r="I43" s="158">
        <f t="shared" si="34"/>
        <v>2.0408163265306121E-2</v>
      </c>
      <c r="J43" s="159">
        <f>J35/J36</f>
        <v>0</v>
      </c>
      <c r="K43" s="160">
        <f>K35/K36</f>
        <v>0</v>
      </c>
      <c r="L43" s="158">
        <f>L35/L36</f>
        <v>0</v>
      </c>
      <c r="M43" s="161">
        <f>M35/M36</f>
        <v>0</v>
      </c>
      <c r="N43" s="189">
        <f t="shared" si="22"/>
        <v>1.6861219195849545E-2</v>
      </c>
    </row>
    <row r="44" spans="1:14" ht="16" thickBot="1" x14ac:dyDescent="0.25">
      <c r="A44" s="96"/>
      <c r="B44" s="186"/>
      <c r="C44" s="166"/>
      <c r="D44" s="165"/>
      <c r="E44" s="163"/>
      <c r="F44" s="164"/>
      <c r="G44" s="165"/>
      <c r="H44" s="163"/>
      <c r="I44" s="164"/>
      <c r="J44" s="165"/>
      <c r="K44" s="163"/>
      <c r="L44" s="164"/>
      <c r="M44" s="180"/>
      <c r="N44" s="168"/>
    </row>
    <row r="45" spans="1:14" ht="16" thickBot="1" x14ac:dyDescent="0.25">
      <c r="A45" s="102" t="s">
        <v>33</v>
      </c>
      <c r="B45" s="303">
        <v>45292</v>
      </c>
      <c r="C45" s="304">
        <v>45323</v>
      </c>
      <c r="D45" s="305">
        <v>45352</v>
      </c>
      <c r="E45" s="303">
        <v>45383</v>
      </c>
      <c r="F45" s="304">
        <v>45413</v>
      </c>
      <c r="G45" s="305">
        <v>45444</v>
      </c>
      <c r="H45" s="303">
        <v>45474</v>
      </c>
      <c r="I45" s="304">
        <v>45505</v>
      </c>
      <c r="J45" s="305">
        <v>45536</v>
      </c>
      <c r="K45" s="303">
        <v>45566</v>
      </c>
      <c r="L45" s="304">
        <v>45597</v>
      </c>
      <c r="M45" s="306">
        <v>45627</v>
      </c>
      <c r="N45" s="406" t="s">
        <v>7</v>
      </c>
    </row>
    <row r="46" spans="1:14" x14ac:dyDescent="0.2">
      <c r="A46" s="103" t="s">
        <v>34</v>
      </c>
      <c r="B46" s="146">
        <v>254</v>
      </c>
      <c r="C46" s="109">
        <v>224</v>
      </c>
      <c r="D46" s="147">
        <v>269</v>
      </c>
      <c r="E46" s="146">
        <v>199</v>
      </c>
      <c r="F46" s="109">
        <v>153</v>
      </c>
      <c r="G46" s="147">
        <v>366</v>
      </c>
      <c r="H46" s="146">
        <v>403</v>
      </c>
      <c r="I46" s="109">
        <v>483</v>
      </c>
      <c r="J46" s="147">
        <v>435</v>
      </c>
      <c r="K46" s="146">
        <v>434</v>
      </c>
      <c r="L46" s="109">
        <v>392</v>
      </c>
      <c r="M46" s="154">
        <v>411</v>
      </c>
      <c r="N46" s="153">
        <f>SUM(B46:M46)</f>
        <v>4023</v>
      </c>
    </row>
    <row r="47" spans="1:14" x14ac:dyDescent="0.2">
      <c r="A47" s="103" t="s">
        <v>35</v>
      </c>
      <c r="B47" s="146">
        <v>1</v>
      </c>
      <c r="C47" s="109">
        <v>3</v>
      </c>
      <c r="D47" s="147">
        <v>3</v>
      </c>
      <c r="E47" s="146">
        <v>8</v>
      </c>
      <c r="F47" s="109">
        <v>4</v>
      </c>
      <c r="G47" s="147">
        <v>5</v>
      </c>
      <c r="H47" s="146">
        <v>8</v>
      </c>
      <c r="I47" s="109">
        <v>4</v>
      </c>
      <c r="J47" s="147">
        <v>12</v>
      </c>
      <c r="K47" s="146">
        <v>10</v>
      </c>
      <c r="L47" s="109">
        <v>13</v>
      </c>
      <c r="M47" s="154">
        <v>9</v>
      </c>
      <c r="N47" s="153">
        <f>SUM(B47:M47)</f>
        <v>80</v>
      </c>
    </row>
    <row r="48" spans="1:14" x14ac:dyDescent="0.2">
      <c r="A48" s="103" t="s">
        <v>36</v>
      </c>
      <c r="B48" s="146">
        <v>2</v>
      </c>
      <c r="C48" s="109">
        <v>5</v>
      </c>
      <c r="D48" s="147">
        <v>2</v>
      </c>
      <c r="E48" s="146">
        <v>5</v>
      </c>
      <c r="F48" s="109">
        <v>2</v>
      </c>
      <c r="G48" s="147">
        <v>6</v>
      </c>
      <c r="H48" s="146">
        <v>11</v>
      </c>
      <c r="I48" s="109">
        <v>4</v>
      </c>
      <c r="J48" s="147">
        <v>4</v>
      </c>
      <c r="K48" s="146">
        <v>11</v>
      </c>
      <c r="L48" s="109">
        <v>8</v>
      </c>
      <c r="M48" s="154">
        <v>14</v>
      </c>
      <c r="N48" s="153">
        <f>SUM(B48:M48)</f>
        <v>74</v>
      </c>
    </row>
    <row r="49" spans="1:14" x14ac:dyDescent="0.2">
      <c r="A49" s="103" t="s">
        <v>37</v>
      </c>
      <c r="B49" s="146">
        <v>0</v>
      </c>
      <c r="C49" s="109">
        <v>1</v>
      </c>
      <c r="D49" s="147">
        <v>4</v>
      </c>
      <c r="E49" s="146">
        <v>1</v>
      </c>
      <c r="F49" s="109">
        <v>5</v>
      </c>
      <c r="G49" s="147">
        <v>8</v>
      </c>
      <c r="H49" s="146">
        <v>9</v>
      </c>
      <c r="I49" s="109">
        <v>20</v>
      </c>
      <c r="J49" s="147">
        <v>12</v>
      </c>
      <c r="K49" s="146">
        <v>14</v>
      </c>
      <c r="L49" s="109">
        <v>15</v>
      </c>
      <c r="M49" s="154">
        <v>14</v>
      </c>
      <c r="N49" s="153">
        <f>SUM(B49:M49)</f>
        <v>103</v>
      </c>
    </row>
    <row r="50" spans="1:14" x14ac:dyDescent="0.2">
      <c r="A50" s="103" t="s">
        <v>38</v>
      </c>
      <c r="B50" s="146">
        <v>28</v>
      </c>
      <c r="C50" s="109">
        <v>42</v>
      </c>
      <c r="D50" s="147">
        <v>71</v>
      </c>
      <c r="E50" s="146">
        <v>75</v>
      </c>
      <c r="F50" s="109">
        <v>39</v>
      </c>
      <c r="G50" s="147">
        <v>96</v>
      </c>
      <c r="H50" s="146">
        <v>125</v>
      </c>
      <c r="I50" s="109">
        <v>122</v>
      </c>
      <c r="J50" s="147">
        <v>146</v>
      </c>
      <c r="K50" s="146">
        <v>137</v>
      </c>
      <c r="L50" s="109">
        <v>113</v>
      </c>
      <c r="M50" s="154">
        <v>94</v>
      </c>
      <c r="N50" s="153">
        <f>SUM(B50:M50)</f>
        <v>1088</v>
      </c>
    </row>
    <row r="51" spans="1:14" x14ac:dyDescent="0.2">
      <c r="A51" s="103" t="s">
        <v>30</v>
      </c>
      <c r="B51" s="146"/>
      <c r="C51" s="109"/>
      <c r="D51" s="147"/>
      <c r="E51" s="146"/>
      <c r="F51" s="109"/>
      <c r="G51" s="147"/>
      <c r="H51" s="146">
        <v>1</v>
      </c>
      <c r="I51" s="109">
        <v>2</v>
      </c>
      <c r="J51" s="147"/>
      <c r="K51" s="146"/>
      <c r="L51" s="109"/>
      <c r="M51" s="154"/>
      <c r="N51" s="153"/>
    </row>
    <row r="52" spans="1:14" ht="16" thickBot="1" x14ac:dyDescent="0.25">
      <c r="A52" s="106" t="s">
        <v>31</v>
      </c>
      <c r="B52" s="129">
        <v>5</v>
      </c>
      <c r="C52" s="130">
        <v>4</v>
      </c>
      <c r="D52" s="131">
        <v>7</v>
      </c>
      <c r="E52" s="129"/>
      <c r="F52" s="130"/>
      <c r="G52" s="131"/>
      <c r="H52" s="129">
        <v>2</v>
      </c>
      <c r="I52" s="130">
        <v>2</v>
      </c>
      <c r="J52" s="131"/>
      <c r="K52" s="129"/>
      <c r="L52" s="130"/>
      <c r="M52" s="132"/>
      <c r="N52" s="133"/>
    </row>
    <row r="53" spans="1:14" ht="16" thickBot="1" x14ac:dyDescent="0.25">
      <c r="A53" s="95" t="s">
        <v>24</v>
      </c>
      <c r="B53" s="398">
        <f t="shared" ref="B53:I53" si="35">SUM(B46:B52)</f>
        <v>290</v>
      </c>
      <c r="C53" s="399">
        <f t="shared" si="35"/>
        <v>279</v>
      </c>
      <c r="D53" s="400">
        <f t="shared" si="35"/>
        <v>356</v>
      </c>
      <c r="E53" s="398">
        <f t="shared" si="35"/>
        <v>288</v>
      </c>
      <c r="F53" s="399">
        <f t="shared" si="35"/>
        <v>203</v>
      </c>
      <c r="G53" s="400">
        <f t="shared" si="35"/>
        <v>481</v>
      </c>
      <c r="H53" s="398">
        <f t="shared" si="35"/>
        <v>559</v>
      </c>
      <c r="I53" s="399">
        <f t="shared" si="35"/>
        <v>637</v>
      </c>
      <c r="J53" s="400">
        <f>SUM(J46:J52)</f>
        <v>609</v>
      </c>
      <c r="K53" s="398">
        <f>SUM(K46:K52)</f>
        <v>606</v>
      </c>
      <c r="L53" s="399">
        <f>SUM(L46:L52)</f>
        <v>541</v>
      </c>
      <c r="M53" s="392">
        <f>SUM(M46:M52)</f>
        <v>542</v>
      </c>
      <c r="N53" s="195">
        <f>SUM(B53:M53)</f>
        <v>5391</v>
      </c>
    </row>
    <row r="54" spans="1:14" ht="16" thickBot="1" x14ac:dyDescent="0.25">
      <c r="A54" s="99" t="s">
        <v>17</v>
      </c>
      <c r="B54" s="120">
        <v>45292</v>
      </c>
      <c r="C54" s="121">
        <v>45323</v>
      </c>
      <c r="D54" s="122">
        <v>45352</v>
      </c>
      <c r="E54" s="120">
        <v>45383</v>
      </c>
      <c r="F54" s="121">
        <v>45413</v>
      </c>
      <c r="G54" s="122">
        <v>45444</v>
      </c>
      <c r="H54" s="120">
        <v>45474</v>
      </c>
      <c r="I54" s="121">
        <v>45505</v>
      </c>
      <c r="J54" s="122">
        <v>45536</v>
      </c>
      <c r="K54" s="120">
        <v>45566</v>
      </c>
      <c r="L54" s="121">
        <v>45597</v>
      </c>
      <c r="M54" s="123">
        <v>45627</v>
      </c>
      <c r="N54" s="406"/>
    </row>
    <row r="55" spans="1:14" x14ac:dyDescent="0.2">
      <c r="A55" s="105" t="s">
        <v>34</v>
      </c>
      <c r="B55" s="229">
        <f t="shared" ref="B55:E55" si="36">B46/B53</f>
        <v>0.87586206896551722</v>
      </c>
      <c r="C55" s="144">
        <f t="shared" si="36"/>
        <v>0.80286738351254483</v>
      </c>
      <c r="D55" s="230">
        <f t="shared" si="36"/>
        <v>0.7556179775280899</v>
      </c>
      <c r="E55" s="229">
        <f t="shared" si="36"/>
        <v>0.69097222222222221</v>
      </c>
      <c r="F55" s="144">
        <f t="shared" ref="F55:G55" si="37">F46/F53</f>
        <v>0.75369458128078815</v>
      </c>
      <c r="G55" s="230">
        <f t="shared" si="37"/>
        <v>0.76091476091476096</v>
      </c>
      <c r="H55" s="229">
        <f t="shared" ref="H55:I55" si="38">H46/H53</f>
        <v>0.72093023255813948</v>
      </c>
      <c r="I55" s="144">
        <f t="shared" si="38"/>
        <v>0.75824175824175821</v>
      </c>
      <c r="J55" s="230">
        <f>J46/J53</f>
        <v>0.7142857142857143</v>
      </c>
      <c r="K55" s="229">
        <f>K46/K53</f>
        <v>0.71617161716171618</v>
      </c>
      <c r="L55" s="144">
        <f>L46/L53</f>
        <v>0.72458410351201474</v>
      </c>
      <c r="M55" s="145">
        <f>M46/M53</f>
        <v>0.75830258302583031</v>
      </c>
      <c r="N55" s="307">
        <f>N46/N53</f>
        <v>0.74624373956594325</v>
      </c>
    </row>
    <row r="56" spans="1:14" x14ac:dyDescent="0.2">
      <c r="A56" s="103" t="s">
        <v>35</v>
      </c>
      <c r="B56" s="172">
        <f t="shared" ref="B56:D56" si="39">B47/B53</f>
        <v>3.4482758620689655E-3</v>
      </c>
      <c r="C56" s="170">
        <f t="shared" si="39"/>
        <v>1.0752688172043012E-2</v>
      </c>
      <c r="D56" s="171">
        <f t="shared" si="39"/>
        <v>8.4269662921348312E-3</v>
      </c>
      <c r="E56" s="172">
        <f t="shared" ref="E56:F56" si="40">E47/E53</f>
        <v>2.7777777777777776E-2</v>
      </c>
      <c r="F56" s="170">
        <f t="shared" si="40"/>
        <v>1.9704433497536946E-2</v>
      </c>
      <c r="G56" s="171">
        <f t="shared" ref="G56:I56" si="41">G47/G53</f>
        <v>1.0395010395010396E-2</v>
      </c>
      <c r="H56" s="172">
        <f t="shared" si="41"/>
        <v>1.4311270125223614E-2</v>
      </c>
      <c r="I56" s="170">
        <f t="shared" si="41"/>
        <v>6.2794348508634227E-3</v>
      </c>
      <c r="J56" s="171">
        <f>J47/J53</f>
        <v>1.9704433497536946E-2</v>
      </c>
      <c r="K56" s="172">
        <f>K47/K53</f>
        <v>1.65016501650165E-2</v>
      </c>
      <c r="L56" s="170">
        <f>L47/L53</f>
        <v>2.4029574861367836E-2</v>
      </c>
      <c r="M56" s="173">
        <f>M47/M53</f>
        <v>1.6605166051660517E-2</v>
      </c>
      <c r="N56" s="174">
        <f>N47/N53</f>
        <v>1.4839547393804489E-2</v>
      </c>
    </row>
    <row r="57" spans="1:14" x14ac:dyDescent="0.2">
      <c r="A57" s="103" t="s">
        <v>36</v>
      </c>
      <c r="B57" s="172">
        <f t="shared" ref="B57:D57" si="42">B48/B53</f>
        <v>6.8965517241379309E-3</v>
      </c>
      <c r="C57" s="170">
        <f t="shared" si="42"/>
        <v>1.7921146953405017E-2</v>
      </c>
      <c r="D57" s="171">
        <f t="shared" si="42"/>
        <v>5.6179775280898875E-3</v>
      </c>
      <c r="E57" s="172">
        <f t="shared" ref="E57:F57" si="43">E48/E53</f>
        <v>1.7361111111111112E-2</v>
      </c>
      <c r="F57" s="170">
        <f t="shared" si="43"/>
        <v>9.852216748768473E-3</v>
      </c>
      <c r="G57" s="171">
        <f t="shared" ref="G57:I57" si="44">G48/G53</f>
        <v>1.2474012474012475E-2</v>
      </c>
      <c r="H57" s="172">
        <f t="shared" si="44"/>
        <v>1.9677996422182469E-2</v>
      </c>
      <c r="I57" s="170">
        <f t="shared" si="44"/>
        <v>6.2794348508634227E-3</v>
      </c>
      <c r="J57" s="171">
        <f>J48/J53</f>
        <v>6.5681444991789817E-3</v>
      </c>
      <c r="K57" s="172">
        <f>K48/K53</f>
        <v>1.8151815181518153E-2</v>
      </c>
      <c r="L57" s="170">
        <f>L48/L53</f>
        <v>1.4787430683918669E-2</v>
      </c>
      <c r="M57" s="173">
        <f>M48/M53</f>
        <v>2.5830258302583026E-2</v>
      </c>
      <c r="N57" s="174">
        <f>N48/N53</f>
        <v>1.3726581339269153E-2</v>
      </c>
    </row>
    <row r="58" spans="1:14" x14ac:dyDescent="0.2">
      <c r="A58" s="103" t="s">
        <v>37</v>
      </c>
      <c r="B58" s="172">
        <f t="shared" ref="B58:D58" si="45">B49/B53</f>
        <v>0</v>
      </c>
      <c r="C58" s="170">
        <f t="shared" si="45"/>
        <v>3.5842293906810036E-3</v>
      </c>
      <c r="D58" s="171">
        <f t="shared" si="45"/>
        <v>1.1235955056179775E-2</v>
      </c>
      <c r="E58" s="172">
        <f t="shared" ref="E58:F58" si="46">E49/E53</f>
        <v>3.472222222222222E-3</v>
      </c>
      <c r="F58" s="170">
        <f t="shared" si="46"/>
        <v>2.4630541871921183E-2</v>
      </c>
      <c r="G58" s="171">
        <f t="shared" ref="G58:I58" si="47">G49/G53</f>
        <v>1.6632016632016633E-2</v>
      </c>
      <c r="H58" s="172">
        <f t="shared" si="47"/>
        <v>1.6100178890876567E-2</v>
      </c>
      <c r="I58" s="170">
        <f t="shared" si="47"/>
        <v>3.1397174254317109E-2</v>
      </c>
      <c r="J58" s="171">
        <f>J49/J53</f>
        <v>1.9704433497536946E-2</v>
      </c>
      <c r="K58" s="172">
        <f>K49/K53</f>
        <v>2.3102310231023101E-2</v>
      </c>
      <c r="L58" s="170">
        <f>L49/L53</f>
        <v>2.7726432532347505E-2</v>
      </c>
      <c r="M58" s="173">
        <f>M49/M53</f>
        <v>2.5830258302583026E-2</v>
      </c>
      <c r="N58" s="174">
        <f>N49/N53</f>
        <v>1.9105917269523279E-2</v>
      </c>
    </row>
    <row r="59" spans="1:14" x14ac:dyDescent="0.2">
      <c r="A59" s="103" t="s">
        <v>39</v>
      </c>
      <c r="B59" s="172">
        <f t="shared" ref="B59:D59" si="48">B50/B53</f>
        <v>9.6551724137931033E-2</v>
      </c>
      <c r="C59" s="170">
        <f t="shared" si="48"/>
        <v>0.15053763440860216</v>
      </c>
      <c r="D59" s="171">
        <f t="shared" si="48"/>
        <v>0.199438202247191</v>
      </c>
      <c r="E59" s="172">
        <f t="shared" ref="E59:F59" si="49">E50/E53</f>
        <v>0.26041666666666669</v>
      </c>
      <c r="F59" s="170">
        <f t="shared" si="49"/>
        <v>0.19211822660098521</v>
      </c>
      <c r="G59" s="171">
        <f t="shared" ref="G59:I59" si="50">G50/G53</f>
        <v>0.1995841995841996</v>
      </c>
      <c r="H59" s="172">
        <f t="shared" si="50"/>
        <v>0.22361359570661896</v>
      </c>
      <c r="I59" s="170">
        <f t="shared" si="50"/>
        <v>0.19152276295133439</v>
      </c>
      <c r="J59" s="171">
        <f>J50/J53</f>
        <v>0.23973727422003285</v>
      </c>
      <c r="K59" s="172">
        <f>K50/K53</f>
        <v>0.22607260726072606</v>
      </c>
      <c r="L59" s="170">
        <f>L50/L53</f>
        <v>0.20887245841035121</v>
      </c>
      <c r="M59" s="173">
        <f>M50/M53</f>
        <v>0.17343173431734318</v>
      </c>
      <c r="N59" s="174">
        <f>N50/N53</f>
        <v>0.20181784455574106</v>
      </c>
    </row>
    <row r="60" spans="1:14" x14ac:dyDescent="0.2">
      <c r="A60" s="103" t="s">
        <v>30</v>
      </c>
      <c r="B60" s="172">
        <f t="shared" ref="B60:D60" si="51">B51/B53</f>
        <v>0</v>
      </c>
      <c r="C60" s="170">
        <f t="shared" si="51"/>
        <v>0</v>
      </c>
      <c r="D60" s="171">
        <f t="shared" si="51"/>
        <v>0</v>
      </c>
      <c r="E60" s="172">
        <f t="shared" ref="E60:F60" si="52">E51/E53</f>
        <v>0</v>
      </c>
      <c r="F60" s="170">
        <f t="shared" si="52"/>
        <v>0</v>
      </c>
      <c r="G60" s="171">
        <f t="shared" ref="G60:I60" si="53">G51/G53</f>
        <v>0</v>
      </c>
      <c r="H60" s="172">
        <f t="shared" si="53"/>
        <v>1.7889087656529517E-3</v>
      </c>
      <c r="I60" s="170">
        <f t="shared" si="53"/>
        <v>3.1397174254317113E-3</v>
      </c>
      <c r="J60" s="171">
        <f>J51/J53</f>
        <v>0</v>
      </c>
      <c r="K60" s="172">
        <f>K51/K53</f>
        <v>0</v>
      </c>
      <c r="L60" s="170">
        <f>L51/L53</f>
        <v>0</v>
      </c>
      <c r="M60" s="173">
        <f>M51/M53</f>
        <v>0</v>
      </c>
      <c r="N60" s="174">
        <f>N51/N53</f>
        <v>0</v>
      </c>
    </row>
    <row r="61" spans="1:14" ht="16" thickBot="1" x14ac:dyDescent="0.25">
      <c r="A61" s="107" t="s">
        <v>31</v>
      </c>
      <c r="B61" s="160">
        <f t="shared" ref="B61:D61" si="54">B52/B53</f>
        <v>1.7241379310344827E-2</v>
      </c>
      <c r="C61" s="158">
        <f t="shared" si="54"/>
        <v>1.4336917562724014E-2</v>
      </c>
      <c r="D61" s="159">
        <f t="shared" si="54"/>
        <v>1.9662921348314606E-2</v>
      </c>
      <c r="E61" s="160">
        <f t="shared" ref="E61:F61" si="55">E52/E53</f>
        <v>0</v>
      </c>
      <c r="F61" s="158">
        <f t="shared" si="55"/>
        <v>0</v>
      </c>
      <c r="G61" s="159">
        <f t="shared" ref="G61:I61" si="56">G52/G53</f>
        <v>0</v>
      </c>
      <c r="H61" s="160">
        <f t="shared" si="56"/>
        <v>3.5778175313059034E-3</v>
      </c>
      <c r="I61" s="158">
        <f t="shared" si="56"/>
        <v>3.1397174254317113E-3</v>
      </c>
      <c r="J61" s="159">
        <f>J52/J53</f>
        <v>0</v>
      </c>
      <c r="K61" s="160">
        <f>K52/K53</f>
        <v>0</v>
      </c>
      <c r="L61" s="158">
        <f>L52/L53</f>
        <v>0</v>
      </c>
      <c r="M61" s="161">
        <f>M52/M53</f>
        <v>0</v>
      </c>
      <c r="N61" s="162">
        <f>N52/N53</f>
        <v>0</v>
      </c>
    </row>
    <row r="62" spans="1:14" ht="16" thickBot="1" x14ac:dyDescent="0.25">
      <c r="A62" s="96"/>
      <c r="B62" s="186"/>
      <c r="C62" s="166"/>
      <c r="D62" s="165"/>
      <c r="E62" s="163"/>
      <c r="F62" s="164"/>
      <c r="G62" s="165"/>
      <c r="H62" s="163"/>
      <c r="I62" s="164"/>
      <c r="J62" s="165"/>
      <c r="K62" s="163"/>
      <c r="L62" s="164"/>
      <c r="M62" s="180"/>
      <c r="N62" s="168"/>
    </row>
    <row r="63" spans="1:14" ht="16" thickBot="1" x14ac:dyDescent="0.25">
      <c r="A63" s="268" t="s">
        <v>40</v>
      </c>
      <c r="B63" s="120">
        <v>45292</v>
      </c>
      <c r="C63" s="121">
        <v>45323</v>
      </c>
      <c r="D63" s="122">
        <v>45352</v>
      </c>
      <c r="E63" s="120">
        <v>45383</v>
      </c>
      <c r="F63" s="121">
        <v>45413</v>
      </c>
      <c r="G63" s="122">
        <v>45444</v>
      </c>
      <c r="H63" s="120">
        <v>45474</v>
      </c>
      <c r="I63" s="121">
        <v>45505</v>
      </c>
      <c r="J63" s="122">
        <v>45536</v>
      </c>
      <c r="K63" s="120">
        <v>45566</v>
      </c>
      <c r="L63" s="121">
        <v>45597</v>
      </c>
      <c r="M63" s="123">
        <v>45627</v>
      </c>
      <c r="N63" s="406" t="s">
        <v>7</v>
      </c>
    </row>
    <row r="64" spans="1:14" x14ac:dyDescent="0.2">
      <c r="A64" s="105" t="s">
        <v>41</v>
      </c>
      <c r="B64" s="141">
        <v>49</v>
      </c>
      <c r="C64" s="142">
        <v>31</v>
      </c>
      <c r="D64" s="143">
        <v>47</v>
      </c>
      <c r="E64" s="141">
        <v>32</v>
      </c>
      <c r="F64" s="142">
        <v>35</v>
      </c>
      <c r="G64" s="143">
        <v>74</v>
      </c>
      <c r="H64" s="141">
        <v>74</v>
      </c>
      <c r="I64" s="142">
        <v>93</v>
      </c>
      <c r="J64" s="143">
        <v>93</v>
      </c>
      <c r="K64" s="141">
        <v>72</v>
      </c>
      <c r="L64" s="142">
        <v>61</v>
      </c>
      <c r="M64" s="169">
        <v>67</v>
      </c>
      <c r="N64" s="397">
        <f t="shared" ref="N64:N72" si="57">SUM(B64:M64)</f>
        <v>728</v>
      </c>
    </row>
    <row r="65" spans="1:14" x14ac:dyDescent="0.2">
      <c r="A65" s="103" t="s">
        <v>42</v>
      </c>
      <c r="B65" s="146">
        <v>50</v>
      </c>
      <c r="C65" s="109">
        <v>38</v>
      </c>
      <c r="D65" s="147">
        <v>60</v>
      </c>
      <c r="E65" s="146">
        <v>29</v>
      </c>
      <c r="F65" s="109">
        <v>24</v>
      </c>
      <c r="G65" s="147">
        <v>88</v>
      </c>
      <c r="H65" s="146">
        <v>100</v>
      </c>
      <c r="I65" s="109">
        <v>63</v>
      </c>
      <c r="J65" s="147">
        <v>93</v>
      </c>
      <c r="K65" s="146">
        <v>88</v>
      </c>
      <c r="L65" s="109">
        <v>93</v>
      </c>
      <c r="M65" s="154">
        <v>87</v>
      </c>
      <c r="N65" s="153">
        <f t="shared" si="57"/>
        <v>813</v>
      </c>
    </row>
    <row r="66" spans="1:14" x14ac:dyDescent="0.2">
      <c r="A66" s="103" t="s">
        <v>43</v>
      </c>
      <c r="B66" s="146">
        <v>24</v>
      </c>
      <c r="C66" s="109">
        <v>38</v>
      </c>
      <c r="D66" s="147">
        <v>51</v>
      </c>
      <c r="E66" s="146">
        <v>25</v>
      </c>
      <c r="F66" s="109">
        <v>16</v>
      </c>
      <c r="G66" s="147">
        <v>33</v>
      </c>
      <c r="H66" s="146">
        <v>43</v>
      </c>
      <c r="I66" s="109">
        <v>75</v>
      </c>
      <c r="J66" s="147">
        <v>58</v>
      </c>
      <c r="K66" s="146">
        <v>59</v>
      </c>
      <c r="L66" s="109">
        <v>49</v>
      </c>
      <c r="M66" s="154">
        <v>46</v>
      </c>
      <c r="N66" s="153">
        <f t="shared" si="57"/>
        <v>517</v>
      </c>
    </row>
    <row r="67" spans="1:14" x14ac:dyDescent="0.2">
      <c r="A67" s="103" t="s">
        <v>44</v>
      </c>
      <c r="B67" s="146">
        <v>41</v>
      </c>
      <c r="C67" s="109">
        <v>54</v>
      </c>
      <c r="D67" s="147">
        <v>59</v>
      </c>
      <c r="E67" s="146">
        <v>64</v>
      </c>
      <c r="F67" s="109">
        <v>38</v>
      </c>
      <c r="G67" s="147">
        <v>83</v>
      </c>
      <c r="H67" s="146">
        <v>92</v>
      </c>
      <c r="I67" s="109">
        <v>111</v>
      </c>
      <c r="J67" s="147">
        <v>88</v>
      </c>
      <c r="K67" s="146">
        <v>118</v>
      </c>
      <c r="L67" s="109">
        <v>97</v>
      </c>
      <c r="M67" s="154">
        <v>101</v>
      </c>
      <c r="N67" s="153">
        <f t="shared" si="57"/>
        <v>946</v>
      </c>
    </row>
    <row r="68" spans="1:14" x14ac:dyDescent="0.2">
      <c r="A68" s="103" t="s">
        <v>45</v>
      </c>
      <c r="B68" s="146">
        <v>47</v>
      </c>
      <c r="C68" s="109">
        <v>46</v>
      </c>
      <c r="D68" s="147">
        <v>44</v>
      </c>
      <c r="E68" s="146">
        <v>44</v>
      </c>
      <c r="F68" s="109">
        <v>29</v>
      </c>
      <c r="G68" s="147">
        <v>75</v>
      </c>
      <c r="H68" s="146">
        <v>65</v>
      </c>
      <c r="I68" s="109">
        <v>94</v>
      </c>
      <c r="J68" s="147">
        <v>85</v>
      </c>
      <c r="K68" s="146">
        <v>79</v>
      </c>
      <c r="L68" s="109">
        <v>62</v>
      </c>
      <c r="M68" s="154">
        <v>41</v>
      </c>
      <c r="N68" s="153">
        <f t="shared" si="57"/>
        <v>711</v>
      </c>
    </row>
    <row r="69" spans="1:14" x14ac:dyDescent="0.2">
      <c r="A69" s="103" t="s">
        <v>46</v>
      </c>
      <c r="B69" s="146">
        <v>74</v>
      </c>
      <c r="C69" s="109">
        <v>68</v>
      </c>
      <c r="D69" s="147">
        <v>94</v>
      </c>
      <c r="E69" s="146">
        <v>93</v>
      </c>
      <c r="F69" s="109">
        <v>59</v>
      </c>
      <c r="G69" s="147">
        <v>129</v>
      </c>
      <c r="H69" s="146">
        <v>183</v>
      </c>
      <c r="I69" s="109">
        <v>201</v>
      </c>
      <c r="J69" s="147">
        <v>190</v>
      </c>
      <c r="K69" s="146">
        <v>190</v>
      </c>
      <c r="L69" s="109">
        <v>178</v>
      </c>
      <c r="M69" s="154">
        <v>198</v>
      </c>
      <c r="N69" s="153">
        <f t="shared" si="57"/>
        <v>1657</v>
      </c>
    </row>
    <row r="70" spans="1:14" x14ac:dyDescent="0.2">
      <c r="A70" s="103" t="s">
        <v>47</v>
      </c>
      <c r="B70" s="146"/>
      <c r="C70" s="109"/>
      <c r="D70" s="147"/>
      <c r="E70" s="146">
        <v>1</v>
      </c>
      <c r="F70" s="109">
        <v>2</v>
      </c>
      <c r="G70" s="147"/>
      <c r="H70" s="146">
        <v>2</v>
      </c>
      <c r="I70" s="109"/>
      <c r="J70" s="147">
        <v>2</v>
      </c>
      <c r="K70" s="146"/>
      <c r="L70" s="109">
        <v>1</v>
      </c>
      <c r="M70" s="154">
        <v>2</v>
      </c>
      <c r="N70" s="153">
        <f t="shared" si="57"/>
        <v>10</v>
      </c>
    </row>
    <row r="71" spans="1:14" ht="16" thickBot="1" x14ac:dyDescent="0.25">
      <c r="A71" s="106" t="s">
        <v>31</v>
      </c>
      <c r="B71" s="129">
        <v>5</v>
      </c>
      <c r="C71" s="130">
        <v>4</v>
      </c>
      <c r="D71" s="131">
        <v>1</v>
      </c>
      <c r="E71" s="129"/>
      <c r="F71" s="130"/>
      <c r="G71" s="131"/>
      <c r="H71" s="129"/>
      <c r="I71" s="130"/>
      <c r="J71" s="131"/>
      <c r="K71" s="129"/>
      <c r="L71" s="130"/>
      <c r="M71" s="132"/>
      <c r="N71" s="133">
        <f t="shared" si="57"/>
        <v>10</v>
      </c>
    </row>
    <row r="72" spans="1:14" ht="16" thickBot="1" x14ac:dyDescent="0.25">
      <c r="A72" s="95" t="s">
        <v>24</v>
      </c>
      <c r="B72" s="398">
        <f t="shared" ref="B72:I72" si="58">SUM(B64:B71)</f>
        <v>290</v>
      </c>
      <c r="C72" s="399">
        <f t="shared" si="58"/>
        <v>279</v>
      </c>
      <c r="D72" s="400">
        <f t="shared" si="58"/>
        <v>356</v>
      </c>
      <c r="E72" s="398">
        <f t="shared" si="58"/>
        <v>288</v>
      </c>
      <c r="F72" s="399">
        <f t="shared" si="58"/>
        <v>203</v>
      </c>
      <c r="G72" s="400">
        <f t="shared" si="58"/>
        <v>482</v>
      </c>
      <c r="H72" s="398">
        <f t="shared" si="58"/>
        <v>559</v>
      </c>
      <c r="I72" s="399">
        <f t="shared" si="58"/>
        <v>637</v>
      </c>
      <c r="J72" s="400">
        <f>SUM(J64:J71)</f>
        <v>609</v>
      </c>
      <c r="K72" s="398">
        <f>SUM(K64:K71)</f>
        <v>606</v>
      </c>
      <c r="L72" s="399">
        <f>SUM(L64:L71)</f>
        <v>541</v>
      </c>
      <c r="M72" s="392">
        <f>SUM(M64:M71)</f>
        <v>542</v>
      </c>
      <c r="N72" s="195">
        <f t="shared" si="57"/>
        <v>5392</v>
      </c>
    </row>
    <row r="73" spans="1:14" ht="16" thickBot="1" x14ac:dyDescent="0.25">
      <c r="A73" s="99" t="s">
        <v>17</v>
      </c>
      <c r="B73" s="120">
        <v>45292</v>
      </c>
      <c r="C73" s="121">
        <v>45323</v>
      </c>
      <c r="D73" s="122">
        <v>45352</v>
      </c>
      <c r="E73" s="120">
        <v>45383</v>
      </c>
      <c r="F73" s="121">
        <v>45413</v>
      </c>
      <c r="G73" s="122">
        <v>45444</v>
      </c>
      <c r="H73" s="120">
        <v>45474</v>
      </c>
      <c r="I73" s="121">
        <v>45505</v>
      </c>
      <c r="J73" s="122">
        <v>45536</v>
      </c>
      <c r="K73" s="120">
        <v>45566</v>
      </c>
      <c r="L73" s="121">
        <v>45597</v>
      </c>
      <c r="M73" s="123">
        <v>45627</v>
      </c>
      <c r="N73" s="406"/>
    </row>
    <row r="74" spans="1:14" x14ac:dyDescent="0.2">
      <c r="A74" s="105" t="s">
        <v>41</v>
      </c>
      <c r="B74" s="229">
        <f t="shared" ref="B74:D74" si="59">B64/B72</f>
        <v>0.16896551724137931</v>
      </c>
      <c r="C74" s="144">
        <f t="shared" si="59"/>
        <v>0.1111111111111111</v>
      </c>
      <c r="D74" s="230">
        <f t="shared" si="59"/>
        <v>0.13202247191011235</v>
      </c>
      <c r="E74" s="229">
        <f t="shared" ref="E74:F74" si="60">E64/E72</f>
        <v>0.1111111111111111</v>
      </c>
      <c r="F74" s="144">
        <f t="shared" si="60"/>
        <v>0.17241379310344829</v>
      </c>
      <c r="G74" s="230">
        <f t="shared" ref="G74:H74" si="61">G64/G72</f>
        <v>0.15352697095435686</v>
      </c>
      <c r="H74" s="229">
        <f t="shared" si="61"/>
        <v>0.13237924865831843</v>
      </c>
      <c r="I74" s="144">
        <f t="shared" ref="I74" si="62">I64/I72</f>
        <v>0.14599686028257458</v>
      </c>
      <c r="J74" s="230">
        <f>J64/J72</f>
        <v>0.15270935960591134</v>
      </c>
      <c r="K74" s="229">
        <f>K64/K72</f>
        <v>0.11881188118811881</v>
      </c>
      <c r="L74" s="144">
        <f>L64/L72</f>
        <v>0.11275415896487985</v>
      </c>
      <c r="M74" s="145">
        <f>M64/M72</f>
        <v>0.12361623616236163</v>
      </c>
      <c r="N74" s="307">
        <f>N64/N72</f>
        <v>0.13501483679525222</v>
      </c>
    </row>
    <row r="75" spans="1:14" x14ac:dyDescent="0.2">
      <c r="A75" s="103" t="s">
        <v>42</v>
      </c>
      <c r="B75" s="172">
        <f t="shared" ref="B75:D75" si="63">B65/B72</f>
        <v>0.17241379310344829</v>
      </c>
      <c r="C75" s="170">
        <f t="shared" si="63"/>
        <v>0.13620071684587814</v>
      </c>
      <c r="D75" s="171">
        <f t="shared" si="63"/>
        <v>0.16853932584269662</v>
      </c>
      <c r="E75" s="172">
        <f t="shared" ref="E75:F75" si="64">E65/E72</f>
        <v>0.10069444444444445</v>
      </c>
      <c r="F75" s="170">
        <f t="shared" si="64"/>
        <v>0.11822660098522167</v>
      </c>
      <c r="G75" s="171">
        <f t="shared" ref="G75:H75" si="65">G65/G72</f>
        <v>0.18257261410788381</v>
      </c>
      <c r="H75" s="172">
        <f t="shared" si="65"/>
        <v>0.17889087656529518</v>
      </c>
      <c r="I75" s="170">
        <f t="shared" ref="I75" si="66">I65/I72</f>
        <v>9.8901098901098897E-2</v>
      </c>
      <c r="J75" s="171">
        <f>J65/J72</f>
        <v>0.15270935960591134</v>
      </c>
      <c r="K75" s="172">
        <f>K65/K72</f>
        <v>0.14521452145214522</v>
      </c>
      <c r="L75" s="170">
        <f>L65/L72</f>
        <v>0.17190388170055454</v>
      </c>
      <c r="M75" s="173">
        <f>M65/M72</f>
        <v>0.16051660516605165</v>
      </c>
      <c r="N75" s="174">
        <f>N65/N72</f>
        <v>0.15077893175074183</v>
      </c>
    </row>
    <row r="76" spans="1:14" x14ac:dyDescent="0.2">
      <c r="A76" s="103" t="s">
        <v>43</v>
      </c>
      <c r="B76" s="172">
        <f t="shared" ref="B76:D76" si="67">B66/B72</f>
        <v>8.2758620689655171E-2</v>
      </c>
      <c r="C76" s="170">
        <f t="shared" si="67"/>
        <v>0.13620071684587814</v>
      </c>
      <c r="D76" s="171">
        <f t="shared" si="67"/>
        <v>0.14325842696629212</v>
      </c>
      <c r="E76" s="172">
        <f t="shared" ref="E76:F76" si="68">E66/E72</f>
        <v>8.6805555555555552E-2</v>
      </c>
      <c r="F76" s="170">
        <f t="shared" si="68"/>
        <v>7.8817733990147784E-2</v>
      </c>
      <c r="G76" s="171">
        <f t="shared" ref="G76:H76" si="69">G66/G72</f>
        <v>6.8464730290456438E-2</v>
      </c>
      <c r="H76" s="172">
        <f t="shared" si="69"/>
        <v>7.6923076923076927E-2</v>
      </c>
      <c r="I76" s="170">
        <f t="shared" ref="I76" si="70">I66/I72</f>
        <v>0.11773940345368916</v>
      </c>
      <c r="J76" s="171">
        <f>J66/J72</f>
        <v>9.5238095238095233E-2</v>
      </c>
      <c r="K76" s="172">
        <f>K66/K72</f>
        <v>9.7359735973597358E-2</v>
      </c>
      <c r="L76" s="170">
        <f>L66/L72</f>
        <v>9.0573012939001843E-2</v>
      </c>
      <c r="M76" s="173">
        <f>M66/M72</f>
        <v>8.4870848708487087E-2</v>
      </c>
      <c r="N76" s="174">
        <f>N66/N72</f>
        <v>9.5882789317507419E-2</v>
      </c>
    </row>
    <row r="77" spans="1:14" x14ac:dyDescent="0.2">
      <c r="A77" s="103" t="s">
        <v>44</v>
      </c>
      <c r="B77" s="172">
        <f t="shared" ref="B77:D77" si="71">B67/B72</f>
        <v>0.14137931034482759</v>
      </c>
      <c r="C77" s="170">
        <f t="shared" si="71"/>
        <v>0.19354838709677419</v>
      </c>
      <c r="D77" s="171">
        <f t="shared" si="71"/>
        <v>0.16573033707865167</v>
      </c>
      <c r="E77" s="172">
        <f t="shared" ref="E77:F77" si="72">E67/E72</f>
        <v>0.22222222222222221</v>
      </c>
      <c r="F77" s="170">
        <f t="shared" si="72"/>
        <v>0.18719211822660098</v>
      </c>
      <c r="G77" s="171">
        <f t="shared" ref="G77:H77" si="73">G67/G72</f>
        <v>0.17219917012448133</v>
      </c>
      <c r="H77" s="172">
        <f t="shared" si="73"/>
        <v>0.16457960644007155</v>
      </c>
      <c r="I77" s="170">
        <f t="shared" ref="I77" si="74">I67/I72</f>
        <v>0.17425431711145997</v>
      </c>
      <c r="J77" s="171">
        <f>J67/J72</f>
        <v>0.14449917898193759</v>
      </c>
      <c r="K77" s="172">
        <f>K67/K72</f>
        <v>0.19471947194719472</v>
      </c>
      <c r="L77" s="170">
        <f>L67/L72</f>
        <v>0.17929759704251386</v>
      </c>
      <c r="M77" s="173">
        <f>M67/M72</f>
        <v>0.18634686346863469</v>
      </c>
      <c r="N77" s="174">
        <f>N67/N72</f>
        <v>0.17544510385756676</v>
      </c>
    </row>
    <row r="78" spans="1:14" x14ac:dyDescent="0.2">
      <c r="A78" s="103" t="s">
        <v>45</v>
      </c>
      <c r="B78" s="172">
        <f t="shared" ref="B78:D78" si="75">B68/B72</f>
        <v>0.16206896551724137</v>
      </c>
      <c r="C78" s="170">
        <f t="shared" si="75"/>
        <v>0.16487455197132617</v>
      </c>
      <c r="D78" s="171">
        <f t="shared" si="75"/>
        <v>0.12359550561797752</v>
      </c>
      <c r="E78" s="172">
        <f t="shared" ref="E78:F78" si="76">E68/E72</f>
        <v>0.15277777777777779</v>
      </c>
      <c r="F78" s="170">
        <f t="shared" si="76"/>
        <v>0.14285714285714285</v>
      </c>
      <c r="G78" s="171">
        <f t="shared" ref="G78:H78" si="77">G68/G72</f>
        <v>0.15560165975103735</v>
      </c>
      <c r="H78" s="172">
        <f t="shared" si="77"/>
        <v>0.11627906976744186</v>
      </c>
      <c r="I78" s="170">
        <f t="shared" ref="I78" si="78">I68/I72</f>
        <v>0.14756671899529042</v>
      </c>
      <c r="J78" s="171">
        <f>J68/J72</f>
        <v>0.13957307060755336</v>
      </c>
      <c r="K78" s="172">
        <f>K68/K72</f>
        <v>0.13036303630363036</v>
      </c>
      <c r="L78" s="170">
        <f>L68/L72</f>
        <v>0.11460258780036968</v>
      </c>
      <c r="M78" s="173">
        <f>M68/M72</f>
        <v>7.5645756457564578E-2</v>
      </c>
      <c r="N78" s="174">
        <f>N68/N72</f>
        <v>0.1318620178041543</v>
      </c>
    </row>
    <row r="79" spans="1:14" x14ac:dyDescent="0.2">
      <c r="A79" s="103" t="s">
        <v>46</v>
      </c>
      <c r="B79" s="172">
        <f t="shared" ref="B79:D79" si="79">B69/B72</f>
        <v>0.25517241379310346</v>
      </c>
      <c r="C79" s="170">
        <f t="shared" si="79"/>
        <v>0.24372759856630824</v>
      </c>
      <c r="D79" s="171">
        <f t="shared" si="79"/>
        <v>0.2640449438202247</v>
      </c>
      <c r="E79" s="172">
        <f t="shared" ref="E79:J79" si="80">E69/E72</f>
        <v>0.32291666666666669</v>
      </c>
      <c r="F79" s="170">
        <f t="shared" si="80"/>
        <v>0.29064039408866993</v>
      </c>
      <c r="G79" s="171">
        <f t="shared" si="80"/>
        <v>0.26763485477178423</v>
      </c>
      <c r="H79" s="172">
        <f t="shared" si="80"/>
        <v>0.32737030411449014</v>
      </c>
      <c r="I79" s="170">
        <f t="shared" si="80"/>
        <v>0.31554160125588698</v>
      </c>
      <c r="J79" s="171">
        <f t="shared" si="80"/>
        <v>0.31198686371100165</v>
      </c>
      <c r="K79" s="172">
        <f>K69/K72</f>
        <v>0.31353135313531355</v>
      </c>
      <c r="L79" s="170">
        <f>L69/L72</f>
        <v>0.32902033271719039</v>
      </c>
      <c r="M79" s="173">
        <f>M69/M72</f>
        <v>0.36531365313653136</v>
      </c>
      <c r="N79" s="174">
        <f>N69/N72</f>
        <v>0.30730712166172108</v>
      </c>
    </row>
    <row r="80" spans="1:14" x14ac:dyDescent="0.2">
      <c r="A80" s="103" t="s">
        <v>47</v>
      </c>
      <c r="B80" s="172"/>
      <c r="C80" s="170"/>
      <c r="D80" s="171"/>
      <c r="E80" s="172">
        <f t="shared" ref="E80:L80" si="81">E70/E72</f>
        <v>3.472222222222222E-3</v>
      </c>
      <c r="F80" s="170">
        <f t="shared" si="81"/>
        <v>9.852216748768473E-3</v>
      </c>
      <c r="G80" s="171">
        <f t="shared" si="81"/>
        <v>0</v>
      </c>
      <c r="H80" s="172">
        <f t="shared" si="81"/>
        <v>3.5778175313059034E-3</v>
      </c>
      <c r="I80" s="170">
        <f t="shared" si="81"/>
        <v>0</v>
      </c>
      <c r="J80" s="171">
        <f t="shared" si="81"/>
        <v>3.2840722495894909E-3</v>
      </c>
      <c r="K80" s="172">
        <f t="shared" si="81"/>
        <v>0</v>
      </c>
      <c r="L80" s="170">
        <f t="shared" si="81"/>
        <v>1.8484288354898336E-3</v>
      </c>
      <c r="M80" s="173">
        <f t="shared" ref="M80:N80" si="82">M70/M72</f>
        <v>3.6900369003690036E-3</v>
      </c>
      <c r="N80" s="174">
        <f t="shared" si="82"/>
        <v>1.85459940652819E-3</v>
      </c>
    </row>
    <row r="81" spans="1:14" ht="16" thickBot="1" x14ac:dyDescent="0.25">
      <c r="A81" s="107" t="s">
        <v>31</v>
      </c>
      <c r="B81" s="160">
        <f t="shared" ref="B81:D81" si="83">B71/B72</f>
        <v>1.7241379310344827E-2</v>
      </c>
      <c r="C81" s="158">
        <f t="shared" si="83"/>
        <v>1.4336917562724014E-2</v>
      </c>
      <c r="D81" s="159">
        <f t="shared" si="83"/>
        <v>2.8089887640449437E-3</v>
      </c>
      <c r="E81" s="160">
        <f t="shared" ref="E81:F81" si="84">E71/E72</f>
        <v>0</v>
      </c>
      <c r="F81" s="158">
        <f t="shared" si="84"/>
        <v>0</v>
      </c>
      <c r="G81" s="159">
        <f t="shared" ref="G81:H81" si="85">G71/G72</f>
        <v>0</v>
      </c>
      <c r="H81" s="160">
        <f t="shared" si="85"/>
        <v>0</v>
      </c>
      <c r="I81" s="158">
        <f t="shared" ref="I81" si="86">I71/I72</f>
        <v>0</v>
      </c>
      <c r="J81" s="159">
        <f>J71/J72</f>
        <v>0</v>
      </c>
      <c r="K81" s="155"/>
      <c r="L81" s="156"/>
      <c r="M81" s="207"/>
      <c r="N81" s="308"/>
    </row>
    <row r="82" spans="1:14" x14ac:dyDescent="0.2">
      <c r="A82" s="105"/>
      <c r="B82" s="309"/>
      <c r="C82" s="310"/>
      <c r="D82" s="311"/>
      <c r="E82" s="309"/>
      <c r="F82" s="310"/>
      <c r="G82" s="311"/>
      <c r="H82" s="141"/>
      <c r="I82" s="142"/>
      <c r="J82" s="143"/>
      <c r="K82" s="141"/>
      <c r="L82" s="142"/>
      <c r="M82" s="169"/>
      <c r="N82" s="185"/>
    </row>
    <row r="83" spans="1:14" ht="16" thickBot="1" x14ac:dyDescent="0.25">
      <c r="A83" s="106"/>
      <c r="B83" s="129"/>
      <c r="C83" s="130"/>
      <c r="D83" s="131"/>
      <c r="E83" s="129"/>
      <c r="F83" s="130"/>
      <c r="G83" s="131"/>
      <c r="H83" s="129"/>
      <c r="I83" s="130"/>
      <c r="J83" s="131"/>
      <c r="K83" s="129"/>
      <c r="L83" s="130"/>
      <c r="M83" s="132"/>
      <c r="N83" s="119"/>
    </row>
    <row r="84" spans="1:14" ht="16" thickBot="1" x14ac:dyDescent="0.25">
      <c r="A84" s="101" t="s">
        <v>48</v>
      </c>
      <c r="B84" s="190"/>
      <c r="C84" s="191"/>
      <c r="D84" s="192"/>
      <c r="E84" s="190"/>
      <c r="F84" s="191"/>
      <c r="G84" s="192"/>
      <c r="H84" s="190"/>
      <c r="I84" s="191"/>
      <c r="J84" s="192"/>
      <c r="K84" s="190"/>
      <c r="L84" s="191"/>
      <c r="M84" s="193"/>
      <c r="N84" s="194"/>
    </row>
    <row r="85" spans="1:14" ht="16" thickBot="1" x14ac:dyDescent="0.25">
      <c r="A85" s="99" t="s">
        <v>49</v>
      </c>
      <c r="B85" s="120">
        <v>45292</v>
      </c>
      <c r="C85" s="121">
        <v>45323</v>
      </c>
      <c r="D85" s="122">
        <v>45352</v>
      </c>
      <c r="E85" s="120">
        <v>45383</v>
      </c>
      <c r="F85" s="121">
        <v>45413</v>
      </c>
      <c r="G85" s="122">
        <v>45444</v>
      </c>
      <c r="H85" s="120">
        <v>45474</v>
      </c>
      <c r="I85" s="121">
        <v>45505</v>
      </c>
      <c r="J85" s="122">
        <v>45536</v>
      </c>
      <c r="K85" s="120">
        <v>45566</v>
      </c>
      <c r="L85" s="121">
        <v>45597</v>
      </c>
      <c r="M85" s="123">
        <v>45627</v>
      </c>
      <c r="N85" s="406" t="s">
        <v>7</v>
      </c>
    </row>
    <row r="86" spans="1:14" x14ac:dyDescent="0.2">
      <c r="A86" s="105" t="s">
        <v>50</v>
      </c>
      <c r="B86" s="141">
        <v>156</v>
      </c>
      <c r="C86" s="142">
        <v>148</v>
      </c>
      <c r="D86" s="143">
        <v>187</v>
      </c>
      <c r="E86" s="141">
        <v>149</v>
      </c>
      <c r="F86" s="142">
        <v>117</v>
      </c>
      <c r="G86" s="143">
        <v>273</v>
      </c>
      <c r="H86" s="141">
        <v>317</v>
      </c>
      <c r="I86" s="142">
        <v>348</v>
      </c>
      <c r="J86" s="143">
        <v>330</v>
      </c>
      <c r="K86" s="141">
        <v>317</v>
      </c>
      <c r="L86" s="142">
        <v>278</v>
      </c>
      <c r="M86" s="169">
        <v>303</v>
      </c>
      <c r="N86" s="397">
        <f>SUM(B86:M86)</f>
        <v>2923</v>
      </c>
    </row>
    <row r="87" spans="1:14" x14ac:dyDescent="0.2">
      <c r="A87" s="103" t="s">
        <v>51</v>
      </c>
      <c r="B87" s="146">
        <v>51</v>
      </c>
      <c r="C87" s="109">
        <v>58</v>
      </c>
      <c r="D87" s="147">
        <v>67</v>
      </c>
      <c r="E87" s="146">
        <v>73</v>
      </c>
      <c r="F87" s="109">
        <v>34</v>
      </c>
      <c r="G87" s="147">
        <v>90</v>
      </c>
      <c r="H87" s="146">
        <v>106</v>
      </c>
      <c r="I87" s="109">
        <v>116</v>
      </c>
      <c r="J87" s="147">
        <v>118</v>
      </c>
      <c r="K87" s="146">
        <v>107</v>
      </c>
      <c r="L87" s="109">
        <v>113</v>
      </c>
      <c r="M87" s="154">
        <v>106</v>
      </c>
      <c r="N87" s="153">
        <f t="shared" ref="N87:N91" si="87">SUM(B87:M87)</f>
        <v>1039</v>
      </c>
    </row>
    <row r="88" spans="1:14" x14ac:dyDescent="0.2">
      <c r="A88" s="103" t="s">
        <v>52</v>
      </c>
      <c r="B88" s="146">
        <v>33</v>
      </c>
      <c r="C88" s="109">
        <v>36</v>
      </c>
      <c r="D88" s="147">
        <v>41</v>
      </c>
      <c r="E88" s="146">
        <v>27</v>
      </c>
      <c r="F88" s="109">
        <v>24</v>
      </c>
      <c r="G88" s="147">
        <v>50</v>
      </c>
      <c r="H88" s="146">
        <v>49</v>
      </c>
      <c r="I88" s="109">
        <v>70</v>
      </c>
      <c r="J88" s="147">
        <v>54</v>
      </c>
      <c r="K88" s="146">
        <v>50</v>
      </c>
      <c r="L88" s="109">
        <v>42</v>
      </c>
      <c r="M88" s="154">
        <v>46</v>
      </c>
      <c r="N88" s="153">
        <f t="shared" si="87"/>
        <v>522</v>
      </c>
    </row>
    <row r="89" spans="1:14" x14ac:dyDescent="0.2">
      <c r="A89" s="103" t="s">
        <v>53</v>
      </c>
      <c r="B89" s="146">
        <v>9</v>
      </c>
      <c r="C89" s="109">
        <v>6</v>
      </c>
      <c r="D89" s="147">
        <v>12</v>
      </c>
      <c r="E89" s="146">
        <v>7</v>
      </c>
      <c r="F89" s="109">
        <v>5</v>
      </c>
      <c r="G89" s="147">
        <v>22</v>
      </c>
      <c r="H89" s="146">
        <v>10</v>
      </c>
      <c r="I89" s="109">
        <v>7</v>
      </c>
      <c r="J89" s="147">
        <v>8</v>
      </c>
      <c r="K89" s="146">
        <v>14</v>
      </c>
      <c r="L89" s="109">
        <v>11</v>
      </c>
      <c r="M89" s="154">
        <v>11</v>
      </c>
      <c r="N89" s="153">
        <f t="shared" si="87"/>
        <v>122</v>
      </c>
    </row>
    <row r="90" spans="1:14" x14ac:dyDescent="0.2">
      <c r="A90" s="103" t="s">
        <v>54</v>
      </c>
      <c r="B90" s="146"/>
      <c r="C90" s="109"/>
      <c r="D90" s="147">
        <v>1</v>
      </c>
      <c r="E90" s="146">
        <v>0</v>
      </c>
      <c r="F90" s="109"/>
      <c r="G90" s="147">
        <v>1</v>
      </c>
      <c r="H90" s="146"/>
      <c r="I90" s="109"/>
      <c r="J90" s="147"/>
      <c r="K90" s="146">
        <v>2</v>
      </c>
      <c r="L90" s="109"/>
      <c r="M90" s="154">
        <v>1</v>
      </c>
      <c r="N90" s="153">
        <f t="shared" si="87"/>
        <v>5</v>
      </c>
    </row>
    <row r="91" spans="1:14" x14ac:dyDescent="0.2">
      <c r="A91" s="103" t="s">
        <v>30</v>
      </c>
      <c r="B91" s="146">
        <v>5</v>
      </c>
      <c r="C91" s="109">
        <v>3</v>
      </c>
      <c r="D91" s="147">
        <v>3</v>
      </c>
      <c r="E91" s="146">
        <v>0</v>
      </c>
      <c r="F91" s="109">
        <v>1</v>
      </c>
      <c r="G91" s="147">
        <v>3</v>
      </c>
      <c r="H91" s="146">
        <v>2</v>
      </c>
      <c r="I91" s="109">
        <v>2</v>
      </c>
      <c r="J91" s="147">
        <v>1</v>
      </c>
      <c r="K91" s="146">
        <v>3</v>
      </c>
      <c r="L91" s="109">
        <v>3</v>
      </c>
      <c r="M91" s="154">
        <v>3</v>
      </c>
      <c r="N91" s="153">
        <f t="shared" si="87"/>
        <v>29</v>
      </c>
    </row>
    <row r="92" spans="1:14" ht="16" thickBot="1" x14ac:dyDescent="0.25">
      <c r="A92" s="106" t="s">
        <v>55</v>
      </c>
      <c r="B92" s="129">
        <v>34</v>
      </c>
      <c r="C92" s="130">
        <v>27</v>
      </c>
      <c r="D92" s="131">
        <v>40</v>
      </c>
      <c r="E92" s="129">
        <v>32</v>
      </c>
      <c r="F92" s="130">
        <v>22</v>
      </c>
      <c r="G92" s="131">
        <v>44</v>
      </c>
      <c r="H92" s="129">
        <v>75</v>
      </c>
      <c r="I92" s="130">
        <v>94</v>
      </c>
      <c r="J92" s="131">
        <v>98</v>
      </c>
      <c r="K92" s="129">
        <v>113</v>
      </c>
      <c r="L92" s="130">
        <v>94</v>
      </c>
      <c r="M92" s="132">
        <v>72</v>
      </c>
      <c r="N92" s="133">
        <f>SUM(B92:M92)</f>
        <v>745</v>
      </c>
    </row>
    <row r="93" spans="1:14" ht="16" thickBot="1" x14ac:dyDescent="0.25">
      <c r="A93" s="95" t="s">
        <v>24</v>
      </c>
      <c r="B93" s="398">
        <f t="shared" ref="B93:I93" si="88">SUM(B86:B92)</f>
        <v>288</v>
      </c>
      <c r="C93" s="399">
        <f t="shared" si="88"/>
        <v>278</v>
      </c>
      <c r="D93" s="400">
        <f t="shared" si="88"/>
        <v>351</v>
      </c>
      <c r="E93" s="398">
        <f t="shared" si="88"/>
        <v>288</v>
      </c>
      <c r="F93" s="399">
        <f t="shared" si="88"/>
        <v>203</v>
      </c>
      <c r="G93" s="400">
        <f t="shared" si="88"/>
        <v>483</v>
      </c>
      <c r="H93" s="398">
        <f t="shared" si="88"/>
        <v>559</v>
      </c>
      <c r="I93" s="399">
        <f t="shared" si="88"/>
        <v>637</v>
      </c>
      <c r="J93" s="400">
        <f>SUM(J86:J92)</f>
        <v>609</v>
      </c>
      <c r="K93" s="398">
        <f>SUM(K86:K92)</f>
        <v>606</v>
      </c>
      <c r="L93" s="399">
        <f>SUM(L86:L92)</f>
        <v>541</v>
      </c>
      <c r="M93" s="392">
        <f>SUM(M86:M92)</f>
        <v>542</v>
      </c>
      <c r="N93" s="195">
        <f>SUM(B93:M93)</f>
        <v>5385</v>
      </c>
    </row>
    <row r="94" spans="1:14" ht="16" thickBot="1" x14ac:dyDescent="0.25">
      <c r="A94" s="99" t="s">
        <v>17</v>
      </c>
      <c r="B94" s="120">
        <v>45292</v>
      </c>
      <c r="C94" s="121">
        <v>45323</v>
      </c>
      <c r="D94" s="122">
        <v>45352</v>
      </c>
      <c r="E94" s="120">
        <v>45383</v>
      </c>
      <c r="F94" s="121">
        <v>45413</v>
      </c>
      <c r="G94" s="122">
        <v>45444</v>
      </c>
      <c r="H94" s="120">
        <v>45474</v>
      </c>
      <c r="I94" s="121">
        <v>45505</v>
      </c>
      <c r="J94" s="122">
        <v>45536</v>
      </c>
      <c r="K94" s="120">
        <v>45566</v>
      </c>
      <c r="L94" s="121">
        <v>45597</v>
      </c>
      <c r="M94" s="123">
        <v>45627</v>
      </c>
      <c r="N94" s="406"/>
    </row>
    <row r="95" spans="1:14" x14ac:dyDescent="0.2">
      <c r="A95" s="105" t="s">
        <v>50</v>
      </c>
      <c r="B95" s="229">
        <f t="shared" ref="B95:D95" si="89">B86/B93</f>
        <v>0.54166666666666663</v>
      </c>
      <c r="C95" s="144">
        <f t="shared" si="89"/>
        <v>0.53237410071942448</v>
      </c>
      <c r="D95" s="230">
        <f t="shared" si="89"/>
        <v>0.53276353276353272</v>
      </c>
      <c r="E95" s="229">
        <f t="shared" ref="E95:F95" si="90">E86/E93</f>
        <v>0.51736111111111116</v>
      </c>
      <c r="F95" s="144">
        <f t="shared" si="90"/>
        <v>0.57635467980295563</v>
      </c>
      <c r="G95" s="230">
        <f t="shared" ref="G95:L95" si="91">G86/G93</f>
        <v>0.56521739130434778</v>
      </c>
      <c r="H95" s="229">
        <f t="shared" si="91"/>
        <v>0.56708407871198574</v>
      </c>
      <c r="I95" s="144">
        <f t="shared" si="91"/>
        <v>0.54631083202511777</v>
      </c>
      <c r="J95" s="230">
        <f t="shared" si="91"/>
        <v>0.54187192118226601</v>
      </c>
      <c r="K95" s="229">
        <f t="shared" si="91"/>
        <v>0.52310231023102305</v>
      </c>
      <c r="L95" s="144">
        <f t="shared" si="91"/>
        <v>0.51386321626617371</v>
      </c>
      <c r="M95" s="145">
        <f t="shared" ref="M95" si="92">M86/M93</f>
        <v>0.55904059040590404</v>
      </c>
      <c r="N95" s="292">
        <f t="shared" ref="N95:N101" si="93">N86/N$93</f>
        <v>0.54280408542246983</v>
      </c>
    </row>
    <row r="96" spans="1:14" x14ac:dyDescent="0.2">
      <c r="A96" s="103" t="s">
        <v>51</v>
      </c>
      <c r="B96" s="172">
        <f t="shared" ref="B96:D96" si="94">B87/B93</f>
        <v>0.17708333333333334</v>
      </c>
      <c r="C96" s="170">
        <f t="shared" si="94"/>
        <v>0.20863309352517986</v>
      </c>
      <c r="D96" s="171">
        <f t="shared" si="94"/>
        <v>0.19088319088319089</v>
      </c>
      <c r="E96" s="172">
        <f t="shared" ref="E96:F96" si="95">E87/E93</f>
        <v>0.25347222222222221</v>
      </c>
      <c r="F96" s="170">
        <f t="shared" si="95"/>
        <v>0.16748768472906403</v>
      </c>
      <c r="G96" s="171">
        <f t="shared" ref="G96:L96" si="96">G87/G93</f>
        <v>0.18633540372670807</v>
      </c>
      <c r="H96" s="172">
        <f t="shared" si="96"/>
        <v>0.18962432915921287</v>
      </c>
      <c r="I96" s="170">
        <f t="shared" si="96"/>
        <v>0.18210361067503925</v>
      </c>
      <c r="J96" s="171">
        <f t="shared" si="96"/>
        <v>0.19376026272577998</v>
      </c>
      <c r="K96" s="172">
        <f t="shared" si="96"/>
        <v>0.17656765676567657</v>
      </c>
      <c r="L96" s="170">
        <f t="shared" si="96"/>
        <v>0.20887245841035121</v>
      </c>
      <c r="M96" s="173">
        <f t="shared" ref="M96" si="97">M87/M93</f>
        <v>0.19557195571955718</v>
      </c>
      <c r="N96" s="188">
        <f t="shared" si="93"/>
        <v>0.19294336118848654</v>
      </c>
    </row>
    <row r="97" spans="1:14" x14ac:dyDescent="0.2">
      <c r="A97" s="103" t="s">
        <v>52</v>
      </c>
      <c r="B97" s="172">
        <f t="shared" ref="B97:D97" si="98">B88/B93</f>
        <v>0.11458333333333333</v>
      </c>
      <c r="C97" s="170">
        <f t="shared" si="98"/>
        <v>0.12949640287769784</v>
      </c>
      <c r="D97" s="171">
        <f t="shared" si="98"/>
        <v>0.11680911680911681</v>
      </c>
      <c r="E97" s="172">
        <f t="shared" ref="E97:F97" si="99">E88/E93</f>
        <v>9.375E-2</v>
      </c>
      <c r="F97" s="170">
        <f t="shared" si="99"/>
        <v>0.11822660098522167</v>
      </c>
      <c r="G97" s="171">
        <f t="shared" ref="G97:L97" si="100">G88/G93</f>
        <v>0.10351966873706005</v>
      </c>
      <c r="H97" s="172">
        <f t="shared" si="100"/>
        <v>8.7656529516994638E-2</v>
      </c>
      <c r="I97" s="170">
        <f t="shared" si="100"/>
        <v>0.10989010989010989</v>
      </c>
      <c r="J97" s="171">
        <f t="shared" si="100"/>
        <v>8.8669950738916259E-2</v>
      </c>
      <c r="K97" s="172">
        <f t="shared" si="100"/>
        <v>8.2508250825082508E-2</v>
      </c>
      <c r="L97" s="170">
        <f t="shared" si="100"/>
        <v>7.763401109057301E-2</v>
      </c>
      <c r="M97" s="173">
        <f t="shared" ref="M97" si="101">M88/M93</f>
        <v>8.4870848708487087E-2</v>
      </c>
      <c r="N97" s="188">
        <f t="shared" si="93"/>
        <v>9.6935933147632311E-2</v>
      </c>
    </row>
    <row r="98" spans="1:14" x14ac:dyDescent="0.2">
      <c r="A98" s="103" t="s">
        <v>56</v>
      </c>
      <c r="B98" s="172">
        <f t="shared" ref="B98:D98" si="102">B89/B93</f>
        <v>3.125E-2</v>
      </c>
      <c r="C98" s="170">
        <f t="shared" si="102"/>
        <v>2.1582733812949641E-2</v>
      </c>
      <c r="D98" s="171">
        <f t="shared" si="102"/>
        <v>3.4188034188034191E-2</v>
      </c>
      <c r="E98" s="172">
        <f t="shared" ref="E98:F98" si="103">E89/E93</f>
        <v>2.4305555555555556E-2</v>
      </c>
      <c r="F98" s="170">
        <f t="shared" si="103"/>
        <v>2.4630541871921183E-2</v>
      </c>
      <c r="G98" s="171">
        <f t="shared" ref="G98:L98" si="104">G89/G93</f>
        <v>4.5548654244306416E-2</v>
      </c>
      <c r="H98" s="172">
        <f t="shared" si="104"/>
        <v>1.7889087656529516E-2</v>
      </c>
      <c r="I98" s="170">
        <f t="shared" si="104"/>
        <v>1.098901098901099E-2</v>
      </c>
      <c r="J98" s="171">
        <f t="shared" si="104"/>
        <v>1.3136288998357963E-2</v>
      </c>
      <c r="K98" s="172">
        <f t="shared" si="104"/>
        <v>2.3102310231023101E-2</v>
      </c>
      <c r="L98" s="170">
        <f t="shared" si="104"/>
        <v>2.0332717190388171E-2</v>
      </c>
      <c r="M98" s="173">
        <f t="shared" ref="M98" si="105">M89/M93</f>
        <v>2.0295202952029519E-2</v>
      </c>
      <c r="N98" s="188">
        <f t="shared" si="93"/>
        <v>2.2655524605385328E-2</v>
      </c>
    </row>
    <row r="99" spans="1:14" x14ac:dyDescent="0.2">
      <c r="A99" s="103" t="s">
        <v>54</v>
      </c>
      <c r="B99" s="172">
        <f t="shared" ref="B99:D99" si="106">B90/B93</f>
        <v>0</v>
      </c>
      <c r="C99" s="170">
        <f t="shared" si="106"/>
        <v>0</v>
      </c>
      <c r="D99" s="171">
        <f t="shared" si="106"/>
        <v>2.8490028490028491E-3</v>
      </c>
      <c r="E99" s="172">
        <f t="shared" ref="E99:F99" si="107">E90/E93</f>
        <v>0</v>
      </c>
      <c r="F99" s="170">
        <f t="shared" si="107"/>
        <v>0</v>
      </c>
      <c r="G99" s="171">
        <f t="shared" ref="G99:L99" si="108">G90/G93</f>
        <v>2.070393374741201E-3</v>
      </c>
      <c r="H99" s="172">
        <f t="shared" si="108"/>
        <v>0</v>
      </c>
      <c r="I99" s="170">
        <f t="shared" si="108"/>
        <v>0</v>
      </c>
      <c r="J99" s="171">
        <f t="shared" si="108"/>
        <v>0</v>
      </c>
      <c r="K99" s="172">
        <f t="shared" si="108"/>
        <v>3.3003300330033004E-3</v>
      </c>
      <c r="L99" s="170">
        <f t="shared" si="108"/>
        <v>0</v>
      </c>
      <c r="M99" s="173">
        <f t="shared" ref="M99" si="109">M90/M93</f>
        <v>1.8450184501845018E-3</v>
      </c>
      <c r="N99" s="188">
        <f t="shared" si="93"/>
        <v>9.2850510677808728E-4</v>
      </c>
    </row>
    <row r="100" spans="1:14" x14ac:dyDescent="0.2">
      <c r="A100" s="103" t="s">
        <v>30</v>
      </c>
      <c r="B100" s="172">
        <f t="shared" ref="B100:D100" si="110">B91/B93</f>
        <v>1.7361111111111112E-2</v>
      </c>
      <c r="C100" s="170">
        <f t="shared" si="110"/>
        <v>1.0791366906474821E-2</v>
      </c>
      <c r="D100" s="171">
        <f t="shared" si="110"/>
        <v>8.5470085470085479E-3</v>
      </c>
      <c r="E100" s="172">
        <f t="shared" ref="E100:F100" si="111">E91/E93</f>
        <v>0</v>
      </c>
      <c r="F100" s="170">
        <f t="shared" si="111"/>
        <v>4.9261083743842365E-3</v>
      </c>
      <c r="G100" s="171">
        <f t="shared" ref="G100:L100" si="112">G91/G93</f>
        <v>6.2111801242236021E-3</v>
      </c>
      <c r="H100" s="172">
        <f t="shared" si="112"/>
        <v>3.5778175313059034E-3</v>
      </c>
      <c r="I100" s="170">
        <f t="shared" si="112"/>
        <v>3.1397174254317113E-3</v>
      </c>
      <c r="J100" s="171">
        <f t="shared" si="112"/>
        <v>1.6420361247947454E-3</v>
      </c>
      <c r="K100" s="172">
        <f t="shared" si="112"/>
        <v>4.9504950495049506E-3</v>
      </c>
      <c r="L100" s="170">
        <f t="shared" si="112"/>
        <v>5.5452865064695009E-3</v>
      </c>
      <c r="M100" s="173">
        <f t="shared" ref="M100" si="113">M91/M93</f>
        <v>5.5350553505535052E-3</v>
      </c>
      <c r="N100" s="188">
        <f t="shared" si="93"/>
        <v>5.385329619312906E-3</v>
      </c>
    </row>
    <row r="101" spans="1:14" ht="16" thickBot="1" x14ac:dyDescent="0.25">
      <c r="A101" s="107" t="s">
        <v>55</v>
      </c>
      <c r="B101" s="160">
        <f t="shared" ref="B101:D101" si="114">B92/B93</f>
        <v>0.11805555555555555</v>
      </c>
      <c r="C101" s="158">
        <f t="shared" si="114"/>
        <v>9.7122302158273388E-2</v>
      </c>
      <c r="D101" s="159">
        <f t="shared" si="114"/>
        <v>0.11396011396011396</v>
      </c>
      <c r="E101" s="160">
        <f t="shared" ref="E101:F101" si="115">E92/E93</f>
        <v>0.1111111111111111</v>
      </c>
      <c r="F101" s="158">
        <f t="shared" si="115"/>
        <v>0.10837438423645321</v>
      </c>
      <c r="G101" s="159">
        <f t="shared" ref="G101:L101" si="116">G92/G93</f>
        <v>9.1097308488612833E-2</v>
      </c>
      <c r="H101" s="160">
        <f t="shared" si="116"/>
        <v>0.13416815742397137</v>
      </c>
      <c r="I101" s="158">
        <f t="shared" si="116"/>
        <v>0.14756671899529042</v>
      </c>
      <c r="J101" s="159">
        <f t="shared" si="116"/>
        <v>0.16091954022988506</v>
      </c>
      <c r="K101" s="160">
        <f t="shared" si="116"/>
        <v>0.18646864686468648</v>
      </c>
      <c r="L101" s="158">
        <f t="shared" si="116"/>
        <v>0.17375231053604437</v>
      </c>
      <c r="M101" s="161">
        <f t="shared" ref="M101" si="117">M92/M93</f>
        <v>0.13284132841328414</v>
      </c>
      <c r="N101" s="189">
        <f t="shared" si="93"/>
        <v>0.13834726090993502</v>
      </c>
    </row>
    <row r="102" spans="1:14" ht="16" thickBot="1" x14ac:dyDescent="0.25">
      <c r="A102" s="96"/>
      <c r="B102" s="186"/>
      <c r="C102" s="166"/>
      <c r="D102" s="165"/>
      <c r="E102" s="163"/>
      <c r="F102" s="164"/>
      <c r="G102" s="165"/>
      <c r="H102" s="163"/>
      <c r="I102" s="164"/>
      <c r="J102" s="165"/>
      <c r="K102" s="163"/>
      <c r="L102" s="164"/>
      <c r="M102" s="180"/>
      <c r="N102" s="168"/>
    </row>
    <row r="103" spans="1:14" ht="16" thickBot="1" x14ac:dyDescent="0.25">
      <c r="A103" s="99" t="s">
        <v>57</v>
      </c>
      <c r="B103" s="120">
        <v>45292</v>
      </c>
      <c r="C103" s="121">
        <v>45323</v>
      </c>
      <c r="D103" s="122">
        <v>45352</v>
      </c>
      <c r="E103" s="120">
        <v>45383</v>
      </c>
      <c r="F103" s="121">
        <v>45413</v>
      </c>
      <c r="G103" s="122">
        <v>45444</v>
      </c>
      <c r="H103" s="120">
        <v>45474</v>
      </c>
      <c r="I103" s="121">
        <v>45505</v>
      </c>
      <c r="J103" s="122">
        <v>45536</v>
      </c>
      <c r="K103" s="120">
        <v>45566</v>
      </c>
      <c r="L103" s="121">
        <v>45597</v>
      </c>
      <c r="M103" s="123">
        <v>45627</v>
      </c>
      <c r="N103" s="406" t="s">
        <v>7</v>
      </c>
    </row>
    <row r="104" spans="1:14" x14ac:dyDescent="0.2">
      <c r="A104" s="105" t="s">
        <v>58</v>
      </c>
      <c r="B104" s="141">
        <v>214</v>
      </c>
      <c r="C104" s="142">
        <v>197</v>
      </c>
      <c r="D104" s="143">
        <v>250</v>
      </c>
      <c r="E104" s="141">
        <v>208</v>
      </c>
      <c r="F104" s="142">
        <v>142</v>
      </c>
      <c r="G104" s="143">
        <v>316</v>
      </c>
      <c r="H104" s="141">
        <v>368</v>
      </c>
      <c r="I104" s="142">
        <v>381</v>
      </c>
      <c r="J104" s="143">
        <v>335</v>
      </c>
      <c r="K104" s="141">
        <v>329</v>
      </c>
      <c r="L104" s="142">
        <v>306</v>
      </c>
      <c r="M104" s="169">
        <v>336</v>
      </c>
      <c r="N104" s="397">
        <f>SUM(B104:M104)</f>
        <v>3382</v>
      </c>
    </row>
    <row r="105" spans="1:14" x14ac:dyDescent="0.2">
      <c r="A105" s="103" t="s">
        <v>59</v>
      </c>
      <c r="B105" s="146">
        <v>55</v>
      </c>
      <c r="C105" s="109">
        <v>67</v>
      </c>
      <c r="D105" s="147">
        <v>85</v>
      </c>
      <c r="E105" s="146">
        <v>60</v>
      </c>
      <c r="F105" s="109">
        <v>48</v>
      </c>
      <c r="G105" s="147">
        <v>136</v>
      </c>
      <c r="H105" s="146">
        <v>141</v>
      </c>
      <c r="I105" s="109">
        <v>192</v>
      </c>
      <c r="J105" s="147">
        <v>194</v>
      </c>
      <c r="K105" s="146">
        <v>187</v>
      </c>
      <c r="L105" s="109">
        <v>156</v>
      </c>
      <c r="M105" s="154">
        <v>145</v>
      </c>
      <c r="N105" s="153">
        <f>SUM(B105:M105)</f>
        <v>1466</v>
      </c>
    </row>
    <row r="106" spans="1:14" x14ac:dyDescent="0.2">
      <c r="A106" s="103" t="s">
        <v>60</v>
      </c>
      <c r="B106" s="146">
        <v>2</v>
      </c>
      <c r="C106" s="109">
        <v>2</v>
      </c>
      <c r="D106" s="147">
        <v>2</v>
      </c>
      <c r="E106" s="146">
        <v>1</v>
      </c>
      <c r="F106" s="109">
        <v>3</v>
      </c>
      <c r="G106" s="147">
        <v>1</v>
      </c>
      <c r="H106" s="146">
        <v>1</v>
      </c>
      <c r="I106" s="109">
        <v>4</v>
      </c>
      <c r="J106" s="147">
        <v>2</v>
      </c>
      <c r="K106" s="146">
        <v>1</v>
      </c>
      <c r="L106" s="109"/>
      <c r="M106" s="154">
        <v>3</v>
      </c>
      <c r="N106" s="153">
        <f>SUM(B106:M106)</f>
        <v>22</v>
      </c>
    </row>
    <row r="107" spans="1:14" ht="16" thickBot="1" x14ac:dyDescent="0.25">
      <c r="A107" s="106" t="s">
        <v>55</v>
      </c>
      <c r="B107" s="129">
        <v>19</v>
      </c>
      <c r="C107" s="130">
        <v>13</v>
      </c>
      <c r="D107" s="131">
        <v>19</v>
      </c>
      <c r="E107" s="129">
        <v>19</v>
      </c>
      <c r="F107" s="130">
        <v>10</v>
      </c>
      <c r="G107" s="131">
        <v>29</v>
      </c>
      <c r="H107" s="129">
        <v>47</v>
      </c>
      <c r="I107" s="130">
        <v>60</v>
      </c>
      <c r="J107" s="131">
        <v>78</v>
      </c>
      <c r="K107" s="129">
        <v>89</v>
      </c>
      <c r="L107" s="130">
        <v>79</v>
      </c>
      <c r="M107" s="132">
        <v>58</v>
      </c>
      <c r="N107" s="133">
        <f>SUM(B107:M107)</f>
        <v>520</v>
      </c>
    </row>
    <row r="108" spans="1:14" ht="16" thickBot="1" x14ac:dyDescent="0.25">
      <c r="A108" s="95" t="s">
        <v>24</v>
      </c>
      <c r="B108" s="398">
        <f t="shared" ref="B108:I108" si="118">SUM(B104:B107)</f>
        <v>290</v>
      </c>
      <c r="C108" s="399">
        <f t="shared" si="118"/>
        <v>279</v>
      </c>
      <c r="D108" s="400">
        <f t="shared" si="118"/>
        <v>356</v>
      </c>
      <c r="E108" s="398">
        <f t="shared" si="118"/>
        <v>288</v>
      </c>
      <c r="F108" s="399">
        <f t="shared" si="118"/>
        <v>203</v>
      </c>
      <c r="G108" s="400">
        <f t="shared" si="118"/>
        <v>482</v>
      </c>
      <c r="H108" s="398">
        <f t="shared" si="118"/>
        <v>557</v>
      </c>
      <c r="I108" s="399">
        <f t="shared" si="118"/>
        <v>637</v>
      </c>
      <c r="J108" s="400">
        <f>SUM(J104:J107)</f>
        <v>609</v>
      </c>
      <c r="K108" s="398">
        <f>SUM(K104:K107)</f>
        <v>606</v>
      </c>
      <c r="L108" s="399">
        <f>SUM(L104:L107)</f>
        <v>541</v>
      </c>
      <c r="M108" s="392">
        <f>SUM(M104:M107)</f>
        <v>542</v>
      </c>
      <c r="N108" s="195">
        <f>SUM(B108:M108)</f>
        <v>5390</v>
      </c>
    </row>
    <row r="109" spans="1:14" ht="16" thickBot="1" x14ac:dyDescent="0.25">
      <c r="A109" s="99" t="s">
        <v>17</v>
      </c>
      <c r="B109" s="120">
        <v>45292</v>
      </c>
      <c r="C109" s="121">
        <v>45323</v>
      </c>
      <c r="D109" s="122">
        <v>45352</v>
      </c>
      <c r="E109" s="120">
        <v>45383</v>
      </c>
      <c r="F109" s="121">
        <v>45413</v>
      </c>
      <c r="G109" s="122">
        <v>45444</v>
      </c>
      <c r="H109" s="120">
        <v>45474</v>
      </c>
      <c r="I109" s="121">
        <v>45505</v>
      </c>
      <c r="J109" s="122">
        <v>45536</v>
      </c>
      <c r="K109" s="120">
        <v>45566</v>
      </c>
      <c r="L109" s="121">
        <v>45597</v>
      </c>
      <c r="M109" s="123">
        <v>45627</v>
      </c>
      <c r="N109" s="406"/>
    </row>
    <row r="110" spans="1:14" x14ac:dyDescent="0.2">
      <c r="A110" s="105" t="s">
        <v>58</v>
      </c>
      <c r="B110" s="229">
        <f t="shared" ref="B110:G110" si="119">B104/B108</f>
        <v>0.73793103448275865</v>
      </c>
      <c r="C110" s="144">
        <f t="shared" si="119"/>
        <v>0.70609318996415771</v>
      </c>
      <c r="D110" s="230">
        <f t="shared" si="119"/>
        <v>0.702247191011236</v>
      </c>
      <c r="E110" s="229">
        <f t="shared" si="119"/>
        <v>0.72222222222222221</v>
      </c>
      <c r="F110" s="144">
        <f t="shared" si="119"/>
        <v>0.69950738916256161</v>
      </c>
      <c r="G110" s="230">
        <f t="shared" si="119"/>
        <v>0.65560165975103735</v>
      </c>
      <c r="H110" s="229">
        <f t="shared" ref="H110:I110" si="120">H104/H108</f>
        <v>0.66068222621184924</v>
      </c>
      <c r="I110" s="144">
        <f t="shared" si="120"/>
        <v>0.59811616954474101</v>
      </c>
      <c r="J110" s="230">
        <f>J104/J108</f>
        <v>0.55008210180623973</v>
      </c>
      <c r="K110" s="229">
        <f>K104/K108</f>
        <v>0.54290429042904287</v>
      </c>
      <c r="L110" s="144">
        <f>L104/L108</f>
        <v>0.56561922365988915</v>
      </c>
      <c r="M110" s="145">
        <f>M104/M108</f>
        <v>0.61992619926199266</v>
      </c>
      <c r="N110" s="292">
        <f>N104/N$108</f>
        <v>0.62745825602968464</v>
      </c>
    </row>
    <row r="111" spans="1:14" x14ac:dyDescent="0.2">
      <c r="A111" s="103" t="s">
        <v>59</v>
      </c>
      <c r="B111" s="172">
        <f t="shared" ref="B111:G111" si="121">B105/B108</f>
        <v>0.18965517241379309</v>
      </c>
      <c r="C111" s="170">
        <f t="shared" si="121"/>
        <v>0.24014336917562723</v>
      </c>
      <c r="D111" s="171">
        <f t="shared" si="121"/>
        <v>0.23876404494382023</v>
      </c>
      <c r="E111" s="172">
        <f t="shared" si="121"/>
        <v>0.20833333333333334</v>
      </c>
      <c r="F111" s="170">
        <f t="shared" si="121"/>
        <v>0.23645320197044334</v>
      </c>
      <c r="G111" s="171">
        <f t="shared" si="121"/>
        <v>0.28215767634854771</v>
      </c>
      <c r="H111" s="172">
        <f t="shared" ref="H111:I111" si="122">H105/H108</f>
        <v>0.25314183123877915</v>
      </c>
      <c r="I111" s="170">
        <f t="shared" si="122"/>
        <v>0.30141287284144425</v>
      </c>
      <c r="J111" s="171">
        <f>J105/J108</f>
        <v>0.31855500821018062</v>
      </c>
      <c r="K111" s="172">
        <f>K105/K108</f>
        <v>0.3085808580858086</v>
      </c>
      <c r="L111" s="170">
        <f>L105/L108</f>
        <v>0.28835489833641403</v>
      </c>
      <c r="M111" s="173">
        <f>M105/M108</f>
        <v>0.26752767527675275</v>
      </c>
      <c r="N111" s="188">
        <f>N105/N$108</f>
        <v>0.27198515769944343</v>
      </c>
    </row>
    <row r="112" spans="1:14" x14ac:dyDescent="0.2">
      <c r="A112" s="103" t="s">
        <v>60</v>
      </c>
      <c r="B112" s="172">
        <f t="shared" ref="B112:D112" si="123">B106/B108</f>
        <v>6.8965517241379309E-3</v>
      </c>
      <c r="C112" s="170">
        <f t="shared" si="123"/>
        <v>7.1684587813620072E-3</v>
      </c>
      <c r="D112" s="171">
        <f t="shared" si="123"/>
        <v>5.6179775280898875E-3</v>
      </c>
      <c r="E112" s="172">
        <f t="shared" ref="E112:F112" si="124">E106/E108</f>
        <v>3.472222222222222E-3</v>
      </c>
      <c r="F112" s="170">
        <f t="shared" si="124"/>
        <v>1.4778325123152709E-2</v>
      </c>
      <c r="G112" s="171">
        <f t="shared" ref="G112:H112" si="125">G106/G108</f>
        <v>2.0746887966804979E-3</v>
      </c>
      <c r="H112" s="172">
        <f t="shared" si="125"/>
        <v>1.7953321364452424E-3</v>
      </c>
      <c r="I112" s="170">
        <f t="shared" ref="I112" si="126">I106/I108</f>
        <v>6.2794348508634227E-3</v>
      </c>
      <c r="J112" s="171">
        <f>J106/J108</f>
        <v>3.2840722495894909E-3</v>
      </c>
      <c r="K112" s="172">
        <f>K106/K108</f>
        <v>1.6501650165016502E-3</v>
      </c>
      <c r="L112" s="170">
        <f>L106/L108</f>
        <v>0</v>
      </c>
      <c r="M112" s="173">
        <f>M106/M108</f>
        <v>5.5350553505535052E-3</v>
      </c>
      <c r="N112" s="188">
        <f>N106/N$108</f>
        <v>4.0816326530612249E-3</v>
      </c>
    </row>
    <row r="113" spans="1:14" ht="16" thickBot="1" x14ac:dyDescent="0.25">
      <c r="A113" s="107" t="s">
        <v>55</v>
      </c>
      <c r="B113" s="160">
        <f t="shared" ref="B113:D113" si="127">B107/B108</f>
        <v>6.5517241379310351E-2</v>
      </c>
      <c r="C113" s="158">
        <f t="shared" si="127"/>
        <v>4.6594982078853049E-2</v>
      </c>
      <c r="D113" s="159">
        <f t="shared" si="127"/>
        <v>5.3370786516853931E-2</v>
      </c>
      <c r="E113" s="160">
        <f t="shared" ref="E113:F113" si="128">E107/E108</f>
        <v>6.5972222222222224E-2</v>
      </c>
      <c r="F113" s="158">
        <f t="shared" si="128"/>
        <v>4.9261083743842367E-2</v>
      </c>
      <c r="G113" s="159">
        <f t="shared" ref="G113:H113" si="129">G107/G108</f>
        <v>6.0165975103734441E-2</v>
      </c>
      <c r="H113" s="160">
        <f t="shared" si="129"/>
        <v>8.4380610412926396E-2</v>
      </c>
      <c r="I113" s="158">
        <f t="shared" ref="I113" si="130">I107/I108</f>
        <v>9.4191522762951341E-2</v>
      </c>
      <c r="J113" s="159">
        <f>J107/J108</f>
        <v>0.12807881773399016</v>
      </c>
      <c r="K113" s="160">
        <f>K107/K108</f>
        <v>0.14686468646864687</v>
      </c>
      <c r="L113" s="158">
        <f>L107/L108</f>
        <v>0.14602587800369685</v>
      </c>
      <c r="M113" s="161">
        <f>M107/M108</f>
        <v>0.1070110701107011</v>
      </c>
      <c r="N113" s="189">
        <f>N107/N$108</f>
        <v>9.6474953617810763E-2</v>
      </c>
    </row>
    <row r="114" spans="1:14" ht="16" thickBot="1" x14ac:dyDescent="0.25">
      <c r="A114" s="96"/>
      <c r="B114" s="186"/>
      <c r="C114" s="166"/>
      <c r="D114" s="165"/>
      <c r="E114" s="163"/>
      <c r="F114" s="164"/>
      <c r="G114" s="165"/>
      <c r="H114" s="163"/>
      <c r="I114" s="164"/>
      <c r="J114" s="165"/>
      <c r="K114" s="163"/>
      <c r="L114" s="164"/>
      <c r="M114" s="180"/>
      <c r="N114" s="168"/>
    </row>
    <row r="115" spans="1:14" ht="16" thickBot="1" x14ac:dyDescent="0.25">
      <c r="A115" s="99" t="s">
        <v>61</v>
      </c>
      <c r="B115" s="120">
        <v>45292</v>
      </c>
      <c r="C115" s="121">
        <v>45323</v>
      </c>
      <c r="D115" s="122">
        <v>45352</v>
      </c>
      <c r="E115" s="120">
        <v>45383</v>
      </c>
      <c r="F115" s="121">
        <v>45413</v>
      </c>
      <c r="G115" s="122">
        <v>45444</v>
      </c>
      <c r="H115" s="120">
        <v>45474</v>
      </c>
      <c r="I115" s="121">
        <v>45505</v>
      </c>
      <c r="J115" s="122">
        <v>45536</v>
      </c>
      <c r="K115" s="120">
        <v>45566</v>
      </c>
      <c r="L115" s="121">
        <v>45597</v>
      </c>
      <c r="M115" s="123">
        <v>45627</v>
      </c>
      <c r="N115" s="406" t="s">
        <v>7</v>
      </c>
    </row>
    <row r="116" spans="1:14" x14ac:dyDescent="0.2">
      <c r="A116" s="105" t="s">
        <v>62</v>
      </c>
      <c r="B116" s="141">
        <v>2</v>
      </c>
      <c r="C116" s="142">
        <v>3</v>
      </c>
      <c r="D116" s="143">
        <v>1</v>
      </c>
      <c r="E116" s="141"/>
      <c r="F116" s="142"/>
      <c r="G116" s="143">
        <v>2</v>
      </c>
      <c r="H116" s="141">
        <v>6</v>
      </c>
      <c r="I116" s="142">
        <v>4</v>
      </c>
      <c r="J116" s="143">
        <v>14</v>
      </c>
      <c r="K116" s="141">
        <v>12</v>
      </c>
      <c r="L116" s="142">
        <v>6</v>
      </c>
      <c r="M116" s="169">
        <v>5</v>
      </c>
      <c r="N116" s="397">
        <f t="shared" ref="N116:N124" si="131">SUM(B116:M116)</f>
        <v>55</v>
      </c>
    </row>
    <row r="117" spans="1:14" x14ac:dyDescent="0.2">
      <c r="A117" s="103" t="s">
        <v>63</v>
      </c>
      <c r="B117" s="146">
        <v>45</v>
      </c>
      <c r="C117" s="109">
        <v>34</v>
      </c>
      <c r="D117" s="147">
        <v>4</v>
      </c>
      <c r="E117" s="146">
        <v>54</v>
      </c>
      <c r="F117" s="109">
        <v>32</v>
      </c>
      <c r="G117" s="147">
        <v>110</v>
      </c>
      <c r="H117" s="146">
        <v>106</v>
      </c>
      <c r="I117" s="109">
        <v>112</v>
      </c>
      <c r="J117" s="147">
        <v>110</v>
      </c>
      <c r="K117" s="146">
        <v>92</v>
      </c>
      <c r="L117" s="109">
        <v>85</v>
      </c>
      <c r="M117" s="154">
        <v>84</v>
      </c>
      <c r="N117" s="397">
        <f t="shared" si="131"/>
        <v>868</v>
      </c>
    </row>
    <row r="118" spans="1:14" x14ac:dyDescent="0.2">
      <c r="A118" s="103" t="s">
        <v>64</v>
      </c>
      <c r="B118" s="146">
        <v>66</v>
      </c>
      <c r="C118" s="109">
        <v>34</v>
      </c>
      <c r="D118" s="147">
        <v>6</v>
      </c>
      <c r="E118" s="146">
        <v>61</v>
      </c>
      <c r="F118" s="109">
        <v>32</v>
      </c>
      <c r="G118" s="147">
        <v>93</v>
      </c>
      <c r="H118" s="146">
        <v>135</v>
      </c>
      <c r="I118" s="109">
        <v>154</v>
      </c>
      <c r="J118" s="147">
        <v>137</v>
      </c>
      <c r="K118" s="146">
        <v>162</v>
      </c>
      <c r="L118" s="109">
        <v>122</v>
      </c>
      <c r="M118" s="154">
        <v>125</v>
      </c>
      <c r="N118" s="397">
        <f t="shared" si="131"/>
        <v>1127</v>
      </c>
    </row>
    <row r="119" spans="1:14" x14ac:dyDescent="0.2">
      <c r="A119" s="103" t="s">
        <v>65</v>
      </c>
      <c r="B119" s="146">
        <v>67</v>
      </c>
      <c r="C119" s="109">
        <v>24</v>
      </c>
      <c r="D119" s="147">
        <v>7</v>
      </c>
      <c r="E119" s="146">
        <v>48</v>
      </c>
      <c r="F119" s="109">
        <v>55</v>
      </c>
      <c r="G119" s="147">
        <v>100</v>
      </c>
      <c r="H119" s="146">
        <v>91</v>
      </c>
      <c r="I119" s="109">
        <v>103</v>
      </c>
      <c r="J119" s="147">
        <v>88</v>
      </c>
      <c r="K119" s="146">
        <v>85</v>
      </c>
      <c r="L119" s="109">
        <v>98</v>
      </c>
      <c r="M119" s="154">
        <v>115</v>
      </c>
      <c r="N119" s="397">
        <f t="shared" si="131"/>
        <v>881</v>
      </c>
    </row>
    <row r="120" spans="1:14" x14ac:dyDescent="0.2">
      <c r="A120" s="103" t="s">
        <v>66</v>
      </c>
      <c r="B120" s="146">
        <v>44</v>
      </c>
      <c r="C120" s="109">
        <v>21</v>
      </c>
      <c r="D120" s="147">
        <v>5</v>
      </c>
      <c r="E120" s="146">
        <v>60</v>
      </c>
      <c r="F120" s="109">
        <v>40</v>
      </c>
      <c r="G120" s="147">
        <v>58</v>
      </c>
      <c r="H120" s="146">
        <v>80</v>
      </c>
      <c r="I120" s="109">
        <v>91</v>
      </c>
      <c r="J120" s="147">
        <v>83</v>
      </c>
      <c r="K120" s="146">
        <v>77</v>
      </c>
      <c r="L120" s="109">
        <v>80</v>
      </c>
      <c r="M120" s="154">
        <v>88</v>
      </c>
      <c r="N120" s="397">
        <f t="shared" si="131"/>
        <v>727</v>
      </c>
    </row>
    <row r="121" spans="1:14" x14ac:dyDescent="0.2">
      <c r="A121" s="103" t="s">
        <v>67</v>
      </c>
      <c r="B121" s="146">
        <v>13</v>
      </c>
      <c r="C121" s="109">
        <v>5</v>
      </c>
      <c r="D121" s="147">
        <v>2</v>
      </c>
      <c r="E121" s="146">
        <v>8</v>
      </c>
      <c r="F121" s="109">
        <v>4</v>
      </c>
      <c r="G121" s="147">
        <v>37</v>
      </c>
      <c r="H121" s="146">
        <v>32</v>
      </c>
      <c r="I121" s="109">
        <v>45</v>
      </c>
      <c r="J121" s="147">
        <v>27</v>
      </c>
      <c r="K121" s="146">
        <v>25</v>
      </c>
      <c r="L121" s="109">
        <v>30</v>
      </c>
      <c r="M121" s="154">
        <v>28</v>
      </c>
      <c r="N121" s="397">
        <f t="shared" si="131"/>
        <v>256</v>
      </c>
    </row>
    <row r="122" spans="1:14" x14ac:dyDescent="0.2">
      <c r="A122" s="103" t="s">
        <v>68</v>
      </c>
      <c r="B122" s="146">
        <v>4</v>
      </c>
      <c r="C122" s="109"/>
      <c r="D122" s="147">
        <v>1</v>
      </c>
      <c r="E122" s="146"/>
      <c r="F122" s="109">
        <v>1</v>
      </c>
      <c r="G122" s="147">
        <v>1</v>
      </c>
      <c r="H122" s="146"/>
      <c r="I122" s="109">
        <v>2</v>
      </c>
      <c r="J122" s="147">
        <v>5</v>
      </c>
      <c r="K122" s="146">
        <v>3</v>
      </c>
      <c r="L122" s="109">
        <v>2</v>
      </c>
      <c r="M122" s="154">
        <v>4</v>
      </c>
      <c r="N122" s="397">
        <f t="shared" si="131"/>
        <v>23</v>
      </c>
    </row>
    <row r="123" spans="1:14" ht="16" thickBot="1" x14ac:dyDescent="0.25">
      <c r="A123" s="106" t="s">
        <v>31</v>
      </c>
      <c r="B123" s="129">
        <v>59</v>
      </c>
      <c r="C123" s="130">
        <v>158</v>
      </c>
      <c r="D123" s="131">
        <v>28</v>
      </c>
      <c r="E123" s="129">
        <v>57</v>
      </c>
      <c r="F123" s="130">
        <v>39</v>
      </c>
      <c r="G123" s="131">
        <v>81</v>
      </c>
      <c r="H123" s="129">
        <v>109</v>
      </c>
      <c r="I123" s="130">
        <v>126</v>
      </c>
      <c r="J123" s="131">
        <v>145</v>
      </c>
      <c r="K123" s="129">
        <v>150</v>
      </c>
      <c r="L123" s="130">
        <v>118</v>
      </c>
      <c r="M123" s="132">
        <v>93</v>
      </c>
      <c r="N123" s="257">
        <f t="shared" si="131"/>
        <v>1163</v>
      </c>
    </row>
    <row r="124" spans="1:14" ht="16" thickBot="1" x14ac:dyDescent="0.25">
      <c r="A124" s="95" t="s">
        <v>24</v>
      </c>
      <c r="B124" s="398">
        <f t="shared" ref="B124:I124" si="132">SUM(B116:B123)</f>
        <v>300</v>
      </c>
      <c r="C124" s="399">
        <f t="shared" si="132"/>
        <v>279</v>
      </c>
      <c r="D124" s="400">
        <f t="shared" si="132"/>
        <v>54</v>
      </c>
      <c r="E124" s="398">
        <f t="shared" si="132"/>
        <v>288</v>
      </c>
      <c r="F124" s="399">
        <f t="shared" si="132"/>
        <v>203</v>
      </c>
      <c r="G124" s="400">
        <f t="shared" si="132"/>
        <v>482</v>
      </c>
      <c r="H124" s="398">
        <f t="shared" si="132"/>
        <v>559</v>
      </c>
      <c r="I124" s="399">
        <f t="shared" si="132"/>
        <v>637</v>
      </c>
      <c r="J124" s="400">
        <f>SUM(J116:J123)</f>
        <v>609</v>
      </c>
      <c r="K124" s="398">
        <f>SUM(K116:K123)</f>
        <v>606</v>
      </c>
      <c r="L124" s="399">
        <f>SUM(L116:L123)</f>
        <v>541</v>
      </c>
      <c r="M124" s="392">
        <f>SUM(M116:M123)</f>
        <v>542</v>
      </c>
      <c r="N124" s="195">
        <f t="shared" si="131"/>
        <v>5100</v>
      </c>
    </row>
    <row r="125" spans="1:14" ht="16" thickBot="1" x14ac:dyDescent="0.25">
      <c r="A125" s="99" t="s">
        <v>17</v>
      </c>
      <c r="B125" s="120">
        <v>45292</v>
      </c>
      <c r="C125" s="121">
        <v>45323</v>
      </c>
      <c r="D125" s="122">
        <v>45352</v>
      </c>
      <c r="E125" s="120">
        <v>45383</v>
      </c>
      <c r="F125" s="121">
        <v>45413</v>
      </c>
      <c r="G125" s="122">
        <v>45444</v>
      </c>
      <c r="H125" s="120">
        <v>45474</v>
      </c>
      <c r="I125" s="121">
        <v>45505</v>
      </c>
      <c r="J125" s="122">
        <v>45536</v>
      </c>
      <c r="K125" s="120">
        <v>45566</v>
      </c>
      <c r="L125" s="121">
        <v>45597</v>
      </c>
      <c r="M125" s="123">
        <v>45627</v>
      </c>
      <c r="N125" s="406"/>
    </row>
    <row r="126" spans="1:14" x14ac:dyDescent="0.2">
      <c r="A126" s="105" t="s">
        <v>62</v>
      </c>
      <c r="B126" s="229">
        <f t="shared" ref="B126" si="133">B116/B124</f>
        <v>6.6666666666666671E-3</v>
      </c>
      <c r="C126" s="144">
        <f t="shared" ref="C126:D126" si="134">C116/C124</f>
        <v>1.0752688172043012E-2</v>
      </c>
      <c r="D126" s="230">
        <f t="shared" si="134"/>
        <v>1.8518518518518517E-2</v>
      </c>
      <c r="E126" s="229">
        <f t="shared" ref="E126:F126" si="135">E116/E124</f>
        <v>0</v>
      </c>
      <c r="F126" s="144">
        <f t="shared" si="135"/>
        <v>0</v>
      </c>
      <c r="G126" s="230">
        <f t="shared" ref="G126:H126" si="136">G116/G124</f>
        <v>4.1493775933609959E-3</v>
      </c>
      <c r="H126" s="229">
        <f t="shared" si="136"/>
        <v>1.0733452593917709E-2</v>
      </c>
      <c r="I126" s="144">
        <f t="shared" ref="I126" si="137">I116/I124</f>
        <v>6.2794348508634227E-3</v>
      </c>
      <c r="J126" s="230">
        <f>J116/J124</f>
        <v>2.2988505747126436E-2</v>
      </c>
      <c r="K126" s="229">
        <f>K116/K124</f>
        <v>1.9801980198019802E-2</v>
      </c>
      <c r="L126" s="144">
        <f>L116/L124</f>
        <v>1.1090573012939002E-2</v>
      </c>
      <c r="M126" s="145">
        <f>M116/M124</f>
        <v>9.2250922509225092E-3</v>
      </c>
      <c r="N126" s="292">
        <f t="shared" ref="N126:N133" si="138">N116/N$124</f>
        <v>1.0784313725490196E-2</v>
      </c>
    </row>
    <row r="127" spans="1:14" x14ac:dyDescent="0.2">
      <c r="A127" s="103" t="s">
        <v>63</v>
      </c>
      <c r="B127" s="172">
        <f t="shared" ref="B127" si="139">B117/B124</f>
        <v>0.15</v>
      </c>
      <c r="C127" s="170">
        <f t="shared" ref="C127:D127" si="140">C117/C124</f>
        <v>0.12186379928315412</v>
      </c>
      <c r="D127" s="171">
        <f t="shared" si="140"/>
        <v>7.407407407407407E-2</v>
      </c>
      <c r="E127" s="172">
        <f t="shared" ref="E127:F127" si="141">E117/E124</f>
        <v>0.1875</v>
      </c>
      <c r="F127" s="170">
        <f t="shared" si="141"/>
        <v>0.15763546798029557</v>
      </c>
      <c r="G127" s="171">
        <f t="shared" ref="G127:H127" si="142">G117/G124</f>
        <v>0.22821576763485477</v>
      </c>
      <c r="H127" s="172">
        <f t="shared" si="142"/>
        <v>0.18962432915921287</v>
      </c>
      <c r="I127" s="170">
        <f t="shared" ref="I127" si="143">I117/I124</f>
        <v>0.17582417582417584</v>
      </c>
      <c r="J127" s="171">
        <f>J117/J124</f>
        <v>0.180623973727422</v>
      </c>
      <c r="K127" s="172">
        <f>K117/K124</f>
        <v>0.15181518151815182</v>
      </c>
      <c r="L127" s="170">
        <f>L117/L124</f>
        <v>0.15711645101663585</v>
      </c>
      <c r="M127" s="173">
        <f>M117/M124</f>
        <v>0.15498154981549817</v>
      </c>
      <c r="N127" s="188">
        <f t="shared" si="138"/>
        <v>0.17019607843137255</v>
      </c>
    </row>
    <row r="128" spans="1:14" x14ac:dyDescent="0.2">
      <c r="A128" s="103" t="s">
        <v>64</v>
      </c>
      <c r="B128" s="172">
        <f t="shared" ref="B128" si="144">B118/B124</f>
        <v>0.22</v>
      </c>
      <c r="C128" s="170">
        <f t="shared" ref="C128:D128" si="145">C118/C124</f>
        <v>0.12186379928315412</v>
      </c>
      <c r="D128" s="171">
        <f t="shared" si="145"/>
        <v>0.1111111111111111</v>
      </c>
      <c r="E128" s="172">
        <f t="shared" ref="E128:F128" si="146">E118/E124</f>
        <v>0.21180555555555555</v>
      </c>
      <c r="F128" s="170">
        <f t="shared" si="146"/>
        <v>0.15763546798029557</v>
      </c>
      <c r="G128" s="171">
        <f t="shared" ref="G128:H128" si="147">G118/G124</f>
        <v>0.19294605809128632</v>
      </c>
      <c r="H128" s="172">
        <f t="shared" si="147"/>
        <v>0.24150268336314848</v>
      </c>
      <c r="I128" s="170">
        <f t="shared" ref="I128" si="148">I118/I124</f>
        <v>0.24175824175824176</v>
      </c>
      <c r="J128" s="171">
        <f>J118/J124</f>
        <v>0.22495894909688013</v>
      </c>
      <c r="K128" s="172">
        <f>K118/K124</f>
        <v>0.26732673267326734</v>
      </c>
      <c r="L128" s="170">
        <f>L118/L124</f>
        <v>0.2255083179297597</v>
      </c>
      <c r="M128" s="173">
        <f>M118/M124</f>
        <v>0.23062730627306274</v>
      </c>
      <c r="N128" s="188">
        <f t="shared" si="138"/>
        <v>0.22098039215686274</v>
      </c>
    </row>
    <row r="129" spans="1:14" x14ac:dyDescent="0.2">
      <c r="A129" s="103" t="s">
        <v>65</v>
      </c>
      <c r="B129" s="172">
        <f t="shared" ref="B129" si="149">B119/B124</f>
        <v>0.22333333333333333</v>
      </c>
      <c r="C129" s="170">
        <f t="shared" ref="C129:D129" si="150">C119/C124</f>
        <v>8.6021505376344093E-2</v>
      </c>
      <c r="D129" s="171">
        <f t="shared" si="150"/>
        <v>0.12962962962962962</v>
      </c>
      <c r="E129" s="172">
        <f t="shared" ref="E129:F129" si="151">E119/E124</f>
        <v>0.16666666666666666</v>
      </c>
      <c r="F129" s="170">
        <f t="shared" si="151"/>
        <v>0.27093596059113301</v>
      </c>
      <c r="G129" s="171">
        <f t="shared" ref="G129:H129" si="152">G119/G124</f>
        <v>0.2074688796680498</v>
      </c>
      <c r="H129" s="172">
        <f t="shared" si="152"/>
        <v>0.16279069767441862</v>
      </c>
      <c r="I129" s="170">
        <f t="shared" ref="I129" si="153">I119/I124</f>
        <v>0.16169544740973313</v>
      </c>
      <c r="J129" s="171">
        <f>J119/J124</f>
        <v>0.14449917898193759</v>
      </c>
      <c r="K129" s="172">
        <f>K119/K124</f>
        <v>0.14026402640264027</v>
      </c>
      <c r="L129" s="170">
        <f>L119/L124</f>
        <v>0.18114602587800369</v>
      </c>
      <c r="M129" s="173">
        <f>M119/M124</f>
        <v>0.21217712177121772</v>
      </c>
      <c r="N129" s="188">
        <f t="shared" si="138"/>
        <v>0.1727450980392157</v>
      </c>
    </row>
    <row r="130" spans="1:14" x14ac:dyDescent="0.2">
      <c r="A130" s="103" t="s">
        <v>66</v>
      </c>
      <c r="B130" s="172">
        <f t="shared" ref="B130" si="154">B120/B124</f>
        <v>0.14666666666666667</v>
      </c>
      <c r="C130" s="170">
        <f t="shared" ref="C130:D130" si="155">C120/C124</f>
        <v>7.5268817204301078E-2</v>
      </c>
      <c r="D130" s="171">
        <f t="shared" si="155"/>
        <v>9.2592592592592587E-2</v>
      </c>
      <c r="E130" s="172">
        <f t="shared" ref="E130:F130" si="156">E120/E124</f>
        <v>0.20833333333333334</v>
      </c>
      <c r="F130" s="170">
        <f t="shared" si="156"/>
        <v>0.19704433497536947</v>
      </c>
      <c r="G130" s="171">
        <f t="shared" ref="G130:H130" si="157">G120/G124</f>
        <v>0.12033195020746888</v>
      </c>
      <c r="H130" s="172">
        <f t="shared" si="157"/>
        <v>0.14311270125223613</v>
      </c>
      <c r="I130" s="170">
        <f t="shared" ref="I130" si="158">I120/I124</f>
        <v>0.14285714285714285</v>
      </c>
      <c r="J130" s="171">
        <f>J120/J124</f>
        <v>0.13628899835796388</v>
      </c>
      <c r="K130" s="172">
        <f>K120/K124</f>
        <v>0.12706270627062707</v>
      </c>
      <c r="L130" s="170">
        <f>L120/L124</f>
        <v>0.1478743068391867</v>
      </c>
      <c r="M130" s="173">
        <f>M120/M124</f>
        <v>0.16236162361623616</v>
      </c>
      <c r="N130" s="188">
        <f t="shared" si="138"/>
        <v>0.14254901960784314</v>
      </c>
    </row>
    <row r="131" spans="1:14" x14ac:dyDescent="0.2">
      <c r="A131" s="103" t="s">
        <v>67</v>
      </c>
      <c r="B131" s="172">
        <f t="shared" ref="B131" si="159">B121/B124</f>
        <v>4.3333333333333335E-2</v>
      </c>
      <c r="C131" s="170">
        <f t="shared" ref="C131:D131" si="160">C121/C124</f>
        <v>1.7921146953405017E-2</v>
      </c>
      <c r="D131" s="171">
        <f t="shared" si="160"/>
        <v>3.7037037037037035E-2</v>
      </c>
      <c r="E131" s="172">
        <f t="shared" ref="E131:F131" si="161">E121/E124</f>
        <v>2.7777777777777776E-2</v>
      </c>
      <c r="F131" s="170">
        <f t="shared" si="161"/>
        <v>1.9704433497536946E-2</v>
      </c>
      <c r="G131" s="171">
        <f t="shared" ref="G131:H131" si="162">G121/G124</f>
        <v>7.6763485477178428E-2</v>
      </c>
      <c r="H131" s="172">
        <f t="shared" si="162"/>
        <v>5.7245080500894455E-2</v>
      </c>
      <c r="I131" s="170">
        <f t="shared" ref="I131" si="163">I121/I124</f>
        <v>7.0643642072213506E-2</v>
      </c>
      <c r="J131" s="171">
        <f>J121/J124</f>
        <v>4.4334975369458129E-2</v>
      </c>
      <c r="K131" s="172">
        <f>K121/K124</f>
        <v>4.1254125412541254E-2</v>
      </c>
      <c r="L131" s="170">
        <f>L121/L124</f>
        <v>5.545286506469501E-2</v>
      </c>
      <c r="M131" s="173">
        <f>M121/M124</f>
        <v>5.1660516605166053E-2</v>
      </c>
      <c r="N131" s="188">
        <f t="shared" si="138"/>
        <v>5.0196078431372547E-2</v>
      </c>
    </row>
    <row r="132" spans="1:14" x14ac:dyDescent="0.2">
      <c r="A132" s="103" t="s">
        <v>68</v>
      </c>
      <c r="B132" s="172">
        <f t="shared" ref="B132" si="164">B122/B124</f>
        <v>1.3333333333333334E-2</v>
      </c>
      <c r="C132" s="170">
        <f t="shared" ref="C132:D132" si="165">C122/C124</f>
        <v>0</v>
      </c>
      <c r="D132" s="171">
        <f t="shared" si="165"/>
        <v>1.8518518518518517E-2</v>
      </c>
      <c r="E132" s="172">
        <f t="shared" ref="E132:F132" si="166">E122/E124</f>
        <v>0</v>
      </c>
      <c r="F132" s="170">
        <f t="shared" si="166"/>
        <v>4.9261083743842365E-3</v>
      </c>
      <c r="G132" s="171">
        <f t="shared" ref="G132:H132" si="167">G122/G124</f>
        <v>2.0746887966804979E-3</v>
      </c>
      <c r="H132" s="172">
        <f t="shared" si="167"/>
        <v>0</v>
      </c>
      <c r="I132" s="170">
        <f t="shared" ref="I132" si="168">I122/I124</f>
        <v>3.1397174254317113E-3</v>
      </c>
      <c r="J132" s="171">
        <f>J122/J124</f>
        <v>8.2101806239737278E-3</v>
      </c>
      <c r="K132" s="172">
        <f>K122/K124</f>
        <v>4.9504950495049506E-3</v>
      </c>
      <c r="L132" s="170">
        <f>L122/L124</f>
        <v>3.6968576709796672E-3</v>
      </c>
      <c r="M132" s="173">
        <f>M122/M124</f>
        <v>7.3800738007380072E-3</v>
      </c>
      <c r="N132" s="188">
        <f t="shared" si="138"/>
        <v>4.5098039215686276E-3</v>
      </c>
    </row>
    <row r="133" spans="1:14" ht="16" thickBot="1" x14ac:dyDescent="0.25">
      <c r="A133" s="107" t="s">
        <v>31</v>
      </c>
      <c r="B133" s="160">
        <f t="shared" ref="B133" si="169">B123/B124</f>
        <v>0.19666666666666666</v>
      </c>
      <c r="C133" s="158">
        <f t="shared" ref="C133:D133" si="170">C123/C124</f>
        <v>0.56630824372759858</v>
      </c>
      <c r="D133" s="159">
        <f t="shared" si="170"/>
        <v>0.51851851851851849</v>
      </c>
      <c r="E133" s="160">
        <f t="shared" ref="E133:F133" si="171">E123/E124</f>
        <v>0.19791666666666666</v>
      </c>
      <c r="F133" s="158">
        <f t="shared" si="171"/>
        <v>0.19211822660098521</v>
      </c>
      <c r="G133" s="159">
        <f t="shared" ref="G133:H133" si="172">G123/G124</f>
        <v>0.16804979253112035</v>
      </c>
      <c r="H133" s="160">
        <f t="shared" si="172"/>
        <v>0.19499105545617174</v>
      </c>
      <c r="I133" s="158">
        <f t="shared" ref="I133" si="173">I123/I124</f>
        <v>0.19780219780219779</v>
      </c>
      <c r="J133" s="159">
        <f>J123/J124</f>
        <v>0.23809523809523808</v>
      </c>
      <c r="K133" s="160">
        <f>K123/K124</f>
        <v>0.24752475247524752</v>
      </c>
      <c r="L133" s="158">
        <f>L123/L124</f>
        <v>0.21811460258780038</v>
      </c>
      <c r="M133" s="161">
        <f>M123/M124</f>
        <v>0.17158671586715868</v>
      </c>
      <c r="N133" s="189">
        <f t="shared" si="138"/>
        <v>0.2280392156862745</v>
      </c>
    </row>
    <row r="134" spans="1:14" x14ac:dyDescent="0.2">
      <c r="A134" s="269"/>
      <c r="B134" s="141"/>
      <c r="C134" s="142"/>
      <c r="D134" s="143"/>
      <c r="E134" s="141"/>
      <c r="F134" s="142"/>
      <c r="G134" s="143"/>
      <c r="H134" s="141"/>
      <c r="I134" s="142"/>
      <c r="J134" s="143"/>
      <c r="K134" s="141"/>
      <c r="L134" s="142"/>
      <c r="M134" s="169"/>
      <c r="N134" s="185"/>
    </row>
    <row r="135" spans="1:14" ht="16" thickBot="1" x14ac:dyDescent="0.25">
      <c r="A135" s="106"/>
      <c r="B135" s="204"/>
      <c r="C135" s="205"/>
      <c r="D135" s="131"/>
      <c r="E135" s="129"/>
      <c r="F135" s="130"/>
      <c r="G135" s="131"/>
      <c r="H135" s="129"/>
      <c r="I135" s="130"/>
      <c r="J135" s="131"/>
      <c r="K135" s="129"/>
      <c r="L135" s="130"/>
      <c r="M135" s="132"/>
      <c r="N135" s="119"/>
    </row>
    <row r="136" spans="1:14" ht="16" thickBot="1" x14ac:dyDescent="0.25">
      <c r="A136" s="101" t="s">
        <v>69</v>
      </c>
      <c r="B136" s="190"/>
      <c r="C136" s="191"/>
      <c r="D136" s="192"/>
      <c r="E136" s="190"/>
      <c r="F136" s="191"/>
      <c r="G136" s="192"/>
      <c r="H136" s="190"/>
      <c r="I136" s="191"/>
      <c r="J136" s="192"/>
      <c r="K136" s="190"/>
      <c r="L136" s="191"/>
      <c r="M136" s="193"/>
      <c r="N136" s="194"/>
    </row>
    <row r="137" spans="1:14" ht="16" thickBot="1" x14ac:dyDescent="0.25">
      <c r="A137" s="99" t="s">
        <v>70</v>
      </c>
      <c r="B137" s="120">
        <v>45292</v>
      </c>
      <c r="C137" s="121">
        <v>45323</v>
      </c>
      <c r="D137" s="122">
        <v>45352</v>
      </c>
      <c r="E137" s="120">
        <v>45383</v>
      </c>
      <c r="F137" s="121">
        <v>45413</v>
      </c>
      <c r="G137" s="122">
        <v>45444</v>
      </c>
      <c r="H137" s="120">
        <v>45474</v>
      </c>
      <c r="I137" s="121">
        <v>45505</v>
      </c>
      <c r="J137" s="122">
        <v>45536</v>
      </c>
      <c r="K137" s="120">
        <v>45566</v>
      </c>
      <c r="L137" s="121">
        <v>45597</v>
      </c>
      <c r="M137" s="123">
        <v>45627</v>
      </c>
      <c r="N137" s="406" t="s">
        <v>7</v>
      </c>
    </row>
    <row r="138" spans="1:14" x14ac:dyDescent="0.2">
      <c r="A138" s="105" t="s">
        <v>71</v>
      </c>
      <c r="B138" s="141">
        <v>122</v>
      </c>
      <c r="C138" s="142">
        <v>104</v>
      </c>
      <c r="D138" s="143">
        <v>156</v>
      </c>
      <c r="E138" s="141">
        <v>109</v>
      </c>
      <c r="F138" s="142">
        <v>75</v>
      </c>
      <c r="G138" s="143">
        <v>242</v>
      </c>
      <c r="H138" s="141">
        <v>261</v>
      </c>
      <c r="I138" s="142">
        <v>252</v>
      </c>
      <c r="J138" s="143">
        <v>257</v>
      </c>
      <c r="K138" s="141">
        <v>263</v>
      </c>
      <c r="L138" s="142">
        <v>210</v>
      </c>
      <c r="M138" s="169">
        <v>232</v>
      </c>
      <c r="N138" s="397">
        <f>SUM(B138:M138)</f>
        <v>2283</v>
      </c>
    </row>
    <row r="139" spans="1:14" x14ac:dyDescent="0.2">
      <c r="A139" s="103" t="s">
        <v>72</v>
      </c>
      <c r="B139" s="146">
        <v>137</v>
      </c>
      <c r="C139" s="109">
        <v>139</v>
      </c>
      <c r="D139" s="147">
        <v>153</v>
      </c>
      <c r="E139" s="146">
        <v>97</v>
      </c>
      <c r="F139" s="109">
        <v>88</v>
      </c>
      <c r="G139" s="147">
        <v>153</v>
      </c>
      <c r="H139" s="146">
        <v>181</v>
      </c>
      <c r="I139" s="109">
        <v>248</v>
      </c>
      <c r="J139" s="147">
        <v>203</v>
      </c>
      <c r="K139" s="146">
        <v>189</v>
      </c>
      <c r="L139" s="109">
        <v>186</v>
      </c>
      <c r="M139" s="154">
        <v>217</v>
      </c>
      <c r="N139" s="153">
        <f>SUM(B139:M139)</f>
        <v>1991</v>
      </c>
    </row>
    <row r="140" spans="1:14" x14ac:dyDescent="0.2">
      <c r="A140" s="103" t="s">
        <v>30</v>
      </c>
      <c r="B140" s="146"/>
      <c r="C140" s="109"/>
      <c r="D140" s="147"/>
      <c r="E140" s="146"/>
      <c r="F140" s="109"/>
      <c r="G140" s="147"/>
      <c r="H140" s="146"/>
      <c r="I140" s="109"/>
      <c r="J140" s="147"/>
      <c r="K140" s="146"/>
      <c r="L140" s="109"/>
      <c r="M140" s="154"/>
      <c r="N140" s="153"/>
    </row>
    <row r="141" spans="1:14" ht="16" thickBot="1" x14ac:dyDescent="0.25">
      <c r="A141" s="106" t="s">
        <v>55</v>
      </c>
      <c r="B141" s="129">
        <v>31</v>
      </c>
      <c r="C141" s="130">
        <v>36</v>
      </c>
      <c r="D141" s="131">
        <v>47</v>
      </c>
      <c r="E141" s="129">
        <v>82</v>
      </c>
      <c r="F141" s="130">
        <v>40</v>
      </c>
      <c r="G141" s="131">
        <v>87</v>
      </c>
      <c r="H141" s="129">
        <v>117</v>
      </c>
      <c r="I141" s="130">
        <v>137</v>
      </c>
      <c r="J141" s="131">
        <v>149</v>
      </c>
      <c r="K141" s="129">
        <v>154</v>
      </c>
      <c r="L141" s="130">
        <v>145</v>
      </c>
      <c r="M141" s="132">
        <v>93</v>
      </c>
      <c r="N141" s="133">
        <f>SUM(B141:M141)</f>
        <v>1118</v>
      </c>
    </row>
    <row r="142" spans="1:14" ht="16" thickBot="1" x14ac:dyDescent="0.25">
      <c r="A142" s="95" t="s">
        <v>24</v>
      </c>
      <c r="B142" s="398">
        <f t="shared" ref="B142:I142" si="174">SUM(B138:B141)</f>
        <v>290</v>
      </c>
      <c r="C142" s="399">
        <f t="shared" si="174"/>
        <v>279</v>
      </c>
      <c r="D142" s="400">
        <f t="shared" si="174"/>
        <v>356</v>
      </c>
      <c r="E142" s="398">
        <f t="shared" si="174"/>
        <v>288</v>
      </c>
      <c r="F142" s="399">
        <f t="shared" si="174"/>
        <v>203</v>
      </c>
      <c r="G142" s="400">
        <f t="shared" si="174"/>
        <v>482</v>
      </c>
      <c r="H142" s="398">
        <f t="shared" si="174"/>
        <v>559</v>
      </c>
      <c r="I142" s="399">
        <f t="shared" si="174"/>
        <v>637</v>
      </c>
      <c r="J142" s="400">
        <f>SUM(J138:J141)</f>
        <v>609</v>
      </c>
      <c r="K142" s="398">
        <f>SUM(K138:K141)</f>
        <v>606</v>
      </c>
      <c r="L142" s="399">
        <f>SUM(L138:L141)</f>
        <v>541</v>
      </c>
      <c r="M142" s="392">
        <f>SUM(M138:M141)</f>
        <v>542</v>
      </c>
      <c r="N142" s="195">
        <f>SUM(B142:M142)</f>
        <v>5392</v>
      </c>
    </row>
    <row r="143" spans="1:14" ht="16" thickBot="1" x14ac:dyDescent="0.25">
      <c r="A143" s="99" t="s">
        <v>17</v>
      </c>
      <c r="B143" s="120">
        <v>45292</v>
      </c>
      <c r="C143" s="121">
        <v>45323</v>
      </c>
      <c r="D143" s="122">
        <v>45352</v>
      </c>
      <c r="E143" s="120">
        <v>45383</v>
      </c>
      <c r="F143" s="121">
        <v>45413</v>
      </c>
      <c r="G143" s="122">
        <v>45444</v>
      </c>
      <c r="H143" s="120">
        <v>45474</v>
      </c>
      <c r="I143" s="121">
        <v>45505</v>
      </c>
      <c r="J143" s="122">
        <v>45536</v>
      </c>
      <c r="K143" s="120">
        <v>45566</v>
      </c>
      <c r="L143" s="121">
        <v>45597</v>
      </c>
      <c r="M143" s="123">
        <v>45627</v>
      </c>
      <c r="N143" s="406"/>
    </row>
    <row r="144" spans="1:14" x14ac:dyDescent="0.2">
      <c r="A144" s="105" t="s">
        <v>71</v>
      </c>
      <c r="B144" s="229">
        <f t="shared" ref="B144:D144" si="175">B138/B142</f>
        <v>0.4206896551724138</v>
      </c>
      <c r="C144" s="144">
        <f t="shared" si="175"/>
        <v>0.37275985663082439</v>
      </c>
      <c r="D144" s="230">
        <f t="shared" si="175"/>
        <v>0.43820224719101125</v>
      </c>
      <c r="E144" s="229">
        <f t="shared" ref="E144:F144" si="176">E138/E142</f>
        <v>0.37847222222222221</v>
      </c>
      <c r="F144" s="144">
        <f t="shared" si="176"/>
        <v>0.36945812807881773</v>
      </c>
      <c r="G144" s="230">
        <f t="shared" ref="G144:H144" si="177">G138/G142</f>
        <v>0.50207468879668049</v>
      </c>
      <c r="H144" s="229">
        <f t="shared" si="177"/>
        <v>0.4669051878354204</v>
      </c>
      <c r="I144" s="144">
        <f t="shared" ref="I144" si="178">I138/I142</f>
        <v>0.39560439560439559</v>
      </c>
      <c r="J144" s="230">
        <f>J138/J142</f>
        <v>0.42200328407224957</v>
      </c>
      <c r="K144" s="229">
        <f>K138/K142</f>
        <v>0.43399339933993397</v>
      </c>
      <c r="L144" s="144">
        <f>L138/L142</f>
        <v>0.38817005545286504</v>
      </c>
      <c r="M144" s="145">
        <f>M138/M142</f>
        <v>0.4280442804428044</v>
      </c>
      <c r="N144" s="292">
        <f>N138/N142</f>
        <v>0.42340504451038574</v>
      </c>
    </row>
    <row r="145" spans="1:14" x14ac:dyDescent="0.2">
      <c r="A145" s="103" t="s">
        <v>72</v>
      </c>
      <c r="B145" s="172">
        <f t="shared" ref="B145:D145" si="179">B139/B142</f>
        <v>0.47241379310344828</v>
      </c>
      <c r="C145" s="170">
        <f t="shared" si="179"/>
        <v>0.49820788530465948</v>
      </c>
      <c r="D145" s="171">
        <f t="shared" si="179"/>
        <v>0.4297752808988764</v>
      </c>
      <c r="E145" s="172">
        <f t="shared" ref="E145:F145" si="180">E139/E142</f>
        <v>0.33680555555555558</v>
      </c>
      <c r="F145" s="170">
        <f t="shared" si="180"/>
        <v>0.43349753694581283</v>
      </c>
      <c r="G145" s="171">
        <f t="shared" ref="G145:H145" si="181">G139/G142</f>
        <v>0.31742738589211617</v>
      </c>
      <c r="H145" s="172">
        <f t="shared" si="181"/>
        <v>0.32379248658318427</v>
      </c>
      <c r="I145" s="170">
        <f t="shared" ref="I145" si="182">I139/I142</f>
        <v>0.38932496075353218</v>
      </c>
      <c r="J145" s="171">
        <f>J139/J142</f>
        <v>0.33333333333333331</v>
      </c>
      <c r="K145" s="172">
        <f>K139/K142</f>
        <v>0.31188118811881188</v>
      </c>
      <c r="L145" s="170">
        <f>L139/L142</f>
        <v>0.34380776340110908</v>
      </c>
      <c r="M145" s="173">
        <f>M139/M142</f>
        <v>0.40036900369003692</v>
      </c>
      <c r="N145" s="188">
        <f>N139/N142</f>
        <v>0.36925074183976259</v>
      </c>
    </row>
    <row r="146" spans="1:14" x14ac:dyDescent="0.2">
      <c r="A146" s="103" t="s">
        <v>30</v>
      </c>
      <c r="B146" s="172">
        <f t="shared" ref="B146:D146" si="183">B140/B142</f>
        <v>0</v>
      </c>
      <c r="C146" s="170">
        <f t="shared" si="183"/>
        <v>0</v>
      </c>
      <c r="D146" s="171">
        <f t="shared" si="183"/>
        <v>0</v>
      </c>
      <c r="E146" s="172">
        <f t="shared" ref="E146:F146" si="184">E140/E142</f>
        <v>0</v>
      </c>
      <c r="F146" s="170">
        <f t="shared" si="184"/>
        <v>0</v>
      </c>
      <c r="G146" s="171">
        <f t="shared" ref="G146:H146" si="185">G140/G142</f>
        <v>0</v>
      </c>
      <c r="H146" s="172">
        <f t="shared" si="185"/>
        <v>0</v>
      </c>
      <c r="I146" s="170">
        <f t="shared" ref="I146" si="186">I140/I142</f>
        <v>0</v>
      </c>
      <c r="J146" s="171">
        <f>J140/J142</f>
        <v>0</v>
      </c>
      <c r="K146" s="172">
        <f>K140/K142</f>
        <v>0</v>
      </c>
      <c r="L146" s="170">
        <f>L140/L142</f>
        <v>0</v>
      </c>
      <c r="M146" s="173">
        <f>M140/M142</f>
        <v>0</v>
      </c>
      <c r="N146" s="188"/>
    </row>
    <row r="147" spans="1:14" ht="16" thickBot="1" x14ac:dyDescent="0.25">
      <c r="A147" s="107" t="s">
        <v>55</v>
      </c>
      <c r="B147" s="160">
        <f t="shared" ref="B147:D147" si="187">B141/B142</f>
        <v>0.10689655172413794</v>
      </c>
      <c r="C147" s="158">
        <f t="shared" si="187"/>
        <v>0.12903225806451613</v>
      </c>
      <c r="D147" s="159">
        <f t="shared" si="187"/>
        <v>0.13202247191011235</v>
      </c>
      <c r="E147" s="160">
        <f t="shared" ref="E147:F147" si="188">E141/E142</f>
        <v>0.28472222222222221</v>
      </c>
      <c r="F147" s="158">
        <f t="shared" si="188"/>
        <v>0.19704433497536947</v>
      </c>
      <c r="G147" s="159">
        <f t="shared" ref="G147:H147" si="189">G141/G142</f>
        <v>0.18049792531120332</v>
      </c>
      <c r="H147" s="160">
        <f t="shared" si="189"/>
        <v>0.20930232558139536</v>
      </c>
      <c r="I147" s="158">
        <f t="shared" ref="I147" si="190">I141/I142</f>
        <v>0.21507064364207221</v>
      </c>
      <c r="J147" s="159">
        <f>J141/J142</f>
        <v>0.24466338259441708</v>
      </c>
      <c r="K147" s="160">
        <f>K141/K142</f>
        <v>0.25412541254125415</v>
      </c>
      <c r="L147" s="158">
        <f>L141/L142</f>
        <v>0.26802218114602588</v>
      </c>
      <c r="M147" s="161">
        <f>M141/M142</f>
        <v>0.17158671586715868</v>
      </c>
      <c r="N147" s="189">
        <f>N141/N142</f>
        <v>0.20734421364985164</v>
      </c>
    </row>
    <row r="148" spans="1:14" x14ac:dyDescent="0.2">
      <c r="A148" s="270"/>
      <c r="B148" s="141"/>
      <c r="C148" s="142"/>
      <c r="D148" s="143"/>
      <c r="E148" s="141"/>
      <c r="F148" s="142"/>
      <c r="G148" s="143"/>
      <c r="H148" s="141"/>
      <c r="I148" s="142"/>
      <c r="J148" s="143"/>
      <c r="K148" s="141"/>
      <c r="L148" s="142"/>
      <c r="M148" s="169"/>
      <c r="N148" s="185"/>
    </row>
    <row r="149" spans="1:14" ht="16" thickBot="1" x14ac:dyDescent="0.25">
      <c r="A149" s="271"/>
      <c r="B149" s="129"/>
      <c r="C149" s="130"/>
      <c r="D149" s="131"/>
      <c r="E149" s="129"/>
      <c r="F149" s="130"/>
      <c r="G149" s="131"/>
      <c r="H149" s="129"/>
      <c r="I149" s="130"/>
      <c r="J149" s="131"/>
      <c r="K149" s="129"/>
      <c r="L149" s="130"/>
      <c r="M149" s="132"/>
      <c r="N149" s="119"/>
    </row>
    <row r="150" spans="1:14" ht="16" thickBot="1" x14ac:dyDescent="0.25">
      <c r="A150" s="99" t="s">
        <v>73</v>
      </c>
      <c r="B150" s="120">
        <v>45292</v>
      </c>
      <c r="C150" s="121">
        <v>45323</v>
      </c>
      <c r="D150" s="122">
        <v>45352</v>
      </c>
      <c r="E150" s="120">
        <v>45383</v>
      </c>
      <c r="F150" s="121">
        <v>45413</v>
      </c>
      <c r="G150" s="122">
        <v>45444</v>
      </c>
      <c r="H150" s="120">
        <v>45474</v>
      </c>
      <c r="I150" s="121">
        <v>45505</v>
      </c>
      <c r="J150" s="122">
        <v>45536</v>
      </c>
      <c r="K150" s="120">
        <v>45566</v>
      </c>
      <c r="L150" s="121">
        <v>45597</v>
      </c>
      <c r="M150" s="123">
        <v>45627</v>
      </c>
      <c r="N150" s="406" t="s">
        <v>7</v>
      </c>
    </row>
    <row r="151" spans="1:14" x14ac:dyDescent="0.2">
      <c r="A151" s="105" t="s">
        <v>72</v>
      </c>
      <c r="B151" s="141">
        <v>239</v>
      </c>
      <c r="C151" s="142">
        <v>220</v>
      </c>
      <c r="D151" s="143">
        <v>287</v>
      </c>
      <c r="E151" s="141">
        <v>203</v>
      </c>
      <c r="F151" s="142">
        <v>158</v>
      </c>
      <c r="G151" s="143">
        <v>354</v>
      </c>
      <c r="H151" s="141">
        <v>394</v>
      </c>
      <c r="I151" s="142">
        <v>451</v>
      </c>
      <c r="J151" s="143">
        <v>423</v>
      </c>
      <c r="K151" s="141">
        <v>408</v>
      </c>
      <c r="L151" s="142">
        <v>376</v>
      </c>
      <c r="M151" s="169">
        <v>399</v>
      </c>
      <c r="N151" s="397">
        <f>SUM(B151:M151)</f>
        <v>3912</v>
      </c>
    </row>
    <row r="152" spans="1:14" x14ac:dyDescent="0.2">
      <c r="A152" s="103" t="s">
        <v>71</v>
      </c>
      <c r="B152" s="146">
        <v>18</v>
      </c>
      <c r="C152" s="109">
        <v>20</v>
      </c>
      <c r="D152" s="147">
        <v>26</v>
      </c>
      <c r="E152" s="146">
        <v>14</v>
      </c>
      <c r="F152" s="109">
        <v>8</v>
      </c>
      <c r="G152" s="147">
        <v>20</v>
      </c>
      <c r="H152" s="146">
        <v>26</v>
      </c>
      <c r="I152" s="109">
        <v>36</v>
      </c>
      <c r="J152" s="147">
        <v>27</v>
      </c>
      <c r="K152" s="146">
        <v>32</v>
      </c>
      <c r="L152" s="109">
        <v>32</v>
      </c>
      <c r="M152" s="154">
        <v>37</v>
      </c>
      <c r="N152" s="153">
        <f>SUM(B152:M152)</f>
        <v>296</v>
      </c>
    </row>
    <row r="153" spans="1:14" ht="16" thickBot="1" x14ac:dyDescent="0.25">
      <c r="A153" s="106" t="s">
        <v>74</v>
      </c>
      <c r="B153" s="129">
        <v>33</v>
      </c>
      <c r="C153" s="130">
        <v>39</v>
      </c>
      <c r="D153" s="131">
        <v>43</v>
      </c>
      <c r="E153" s="129">
        <v>71</v>
      </c>
      <c r="F153" s="130">
        <v>37</v>
      </c>
      <c r="G153" s="131">
        <v>108</v>
      </c>
      <c r="H153" s="129">
        <v>139</v>
      </c>
      <c r="I153" s="130">
        <v>150</v>
      </c>
      <c r="J153" s="131">
        <v>159</v>
      </c>
      <c r="K153" s="129">
        <v>166</v>
      </c>
      <c r="L153" s="130">
        <v>133</v>
      </c>
      <c r="M153" s="132">
        <v>106</v>
      </c>
      <c r="N153" s="133">
        <f>SUM(B153:M153)</f>
        <v>1184</v>
      </c>
    </row>
    <row r="154" spans="1:14" ht="16" thickBot="1" x14ac:dyDescent="0.25">
      <c r="A154" s="95" t="s">
        <v>24</v>
      </c>
      <c r="B154" s="398">
        <f t="shared" ref="B154:D154" si="191">SUM(B151:B153)</f>
        <v>290</v>
      </c>
      <c r="C154" s="399">
        <f t="shared" si="191"/>
        <v>279</v>
      </c>
      <c r="D154" s="400">
        <f t="shared" si="191"/>
        <v>356</v>
      </c>
      <c r="E154" s="398">
        <f t="shared" ref="E154:J154" si="192">SUM(E151:E153)</f>
        <v>288</v>
      </c>
      <c r="F154" s="399">
        <f t="shared" si="192"/>
        <v>203</v>
      </c>
      <c r="G154" s="400">
        <f t="shared" si="192"/>
        <v>482</v>
      </c>
      <c r="H154" s="398">
        <f t="shared" si="192"/>
        <v>559</v>
      </c>
      <c r="I154" s="399">
        <f t="shared" si="192"/>
        <v>637</v>
      </c>
      <c r="J154" s="400">
        <f t="shared" si="192"/>
        <v>609</v>
      </c>
      <c r="K154" s="398">
        <f>SUM(K151:K153)</f>
        <v>606</v>
      </c>
      <c r="L154" s="399">
        <f>SUM(L151:L153)</f>
        <v>541</v>
      </c>
      <c r="M154" s="392">
        <f>SUM(M151:M153)</f>
        <v>542</v>
      </c>
      <c r="N154" s="195">
        <f>SUM(B154:M154)</f>
        <v>5392</v>
      </c>
    </row>
    <row r="155" spans="1:14" ht="16" thickBot="1" x14ac:dyDescent="0.25">
      <c r="A155" s="99" t="s">
        <v>17</v>
      </c>
      <c r="B155" s="120">
        <v>45292</v>
      </c>
      <c r="C155" s="121">
        <v>45323</v>
      </c>
      <c r="D155" s="122">
        <v>45352</v>
      </c>
      <c r="E155" s="120">
        <v>45383</v>
      </c>
      <c r="F155" s="121">
        <v>45413</v>
      </c>
      <c r="G155" s="122">
        <v>45444</v>
      </c>
      <c r="H155" s="120">
        <v>45474</v>
      </c>
      <c r="I155" s="121">
        <v>45505</v>
      </c>
      <c r="J155" s="122">
        <v>45536</v>
      </c>
      <c r="K155" s="120">
        <v>45566</v>
      </c>
      <c r="L155" s="121">
        <v>45597</v>
      </c>
      <c r="M155" s="123">
        <v>45627</v>
      </c>
      <c r="N155" s="406"/>
    </row>
    <row r="156" spans="1:14" x14ac:dyDescent="0.2">
      <c r="A156" s="105" t="s">
        <v>72</v>
      </c>
      <c r="B156" s="229">
        <f t="shared" ref="B156:D156" si="193">B151/B154</f>
        <v>0.82413793103448274</v>
      </c>
      <c r="C156" s="144">
        <f t="shared" si="193"/>
        <v>0.78853046594982079</v>
      </c>
      <c r="D156" s="230">
        <f t="shared" si="193"/>
        <v>0.8061797752808989</v>
      </c>
      <c r="E156" s="229">
        <f t="shared" ref="E156:F156" si="194">E151/E154</f>
        <v>0.70486111111111116</v>
      </c>
      <c r="F156" s="144">
        <f t="shared" si="194"/>
        <v>0.77832512315270941</v>
      </c>
      <c r="G156" s="230">
        <f t="shared" ref="G156:H156" si="195">G151/G154</f>
        <v>0.73443983402489632</v>
      </c>
      <c r="H156" s="229">
        <f t="shared" si="195"/>
        <v>0.70483005366726292</v>
      </c>
      <c r="I156" s="144">
        <f t="shared" ref="I156" si="196">I151/I154</f>
        <v>0.70800627943485084</v>
      </c>
      <c r="J156" s="230">
        <f>J151/J154</f>
        <v>0.69458128078817738</v>
      </c>
      <c r="K156" s="229">
        <f>K151/K154</f>
        <v>0.67326732673267331</v>
      </c>
      <c r="L156" s="144">
        <f>L151/L154</f>
        <v>0.69500924214417747</v>
      </c>
      <c r="M156" s="145">
        <f>M151/M154</f>
        <v>0.73616236162361626</v>
      </c>
      <c r="N156" s="292">
        <f>N151/N154</f>
        <v>0.72551928783382791</v>
      </c>
    </row>
    <row r="157" spans="1:14" x14ac:dyDescent="0.2">
      <c r="A157" s="103" t="s">
        <v>71</v>
      </c>
      <c r="B157" s="172">
        <f t="shared" ref="B157:D157" si="197">B152/B154</f>
        <v>6.2068965517241378E-2</v>
      </c>
      <c r="C157" s="170">
        <f t="shared" si="197"/>
        <v>7.1684587813620068E-2</v>
      </c>
      <c r="D157" s="171">
        <f t="shared" si="197"/>
        <v>7.3033707865168537E-2</v>
      </c>
      <c r="E157" s="172">
        <f t="shared" ref="E157:F157" si="198">E152/E154</f>
        <v>4.8611111111111112E-2</v>
      </c>
      <c r="F157" s="170">
        <f t="shared" si="198"/>
        <v>3.9408866995073892E-2</v>
      </c>
      <c r="G157" s="171">
        <f t="shared" ref="G157:H157" si="199">G152/G154</f>
        <v>4.1493775933609957E-2</v>
      </c>
      <c r="H157" s="172">
        <f t="shared" si="199"/>
        <v>4.6511627906976744E-2</v>
      </c>
      <c r="I157" s="170">
        <f t="shared" ref="I157" si="200">I152/I154</f>
        <v>5.6514913657770803E-2</v>
      </c>
      <c r="J157" s="171">
        <f>J152/J154</f>
        <v>4.4334975369458129E-2</v>
      </c>
      <c r="K157" s="172">
        <f>K152/K154</f>
        <v>5.2805280528052806E-2</v>
      </c>
      <c r="L157" s="170">
        <f>L152/L154</f>
        <v>5.9149722735674676E-2</v>
      </c>
      <c r="M157" s="173">
        <f>M152/M154</f>
        <v>6.8265682656826573E-2</v>
      </c>
      <c r="N157" s="188">
        <f>N152/N154</f>
        <v>5.4896142433234422E-2</v>
      </c>
    </row>
    <row r="158" spans="1:14" ht="16" thickBot="1" x14ac:dyDescent="0.25">
      <c r="A158" s="107" t="s">
        <v>74</v>
      </c>
      <c r="B158" s="160">
        <f t="shared" ref="B158:D158" si="201">B153/B154</f>
        <v>0.11379310344827587</v>
      </c>
      <c r="C158" s="158">
        <f t="shared" si="201"/>
        <v>0.13978494623655913</v>
      </c>
      <c r="D158" s="159">
        <f t="shared" si="201"/>
        <v>0.12078651685393259</v>
      </c>
      <c r="E158" s="160">
        <f t="shared" ref="E158:F158" si="202">E153/E154</f>
        <v>0.24652777777777779</v>
      </c>
      <c r="F158" s="158">
        <f t="shared" si="202"/>
        <v>0.18226600985221675</v>
      </c>
      <c r="G158" s="159">
        <f t="shared" ref="G158:H158" si="203">G153/G154</f>
        <v>0.22406639004149378</v>
      </c>
      <c r="H158" s="160">
        <f t="shared" si="203"/>
        <v>0.24865831842576028</v>
      </c>
      <c r="I158" s="158">
        <f t="shared" ref="I158" si="204">I153/I154</f>
        <v>0.23547880690737832</v>
      </c>
      <c r="J158" s="159">
        <f>J153/J154</f>
        <v>0.26108374384236455</v>
      </c>
      <c r="K158" s="160">
        <f>K153/K154</f>
        <v>0.27392739273927391</v>
      </c>
      <c r="L158" s="158">
        <f>L153/L154</f>
        <v>0.24584103512014788</v>
      </c>
      <c r="M158" s="161">
        <f>M153/M154</f>
        <v>0.19557195571955718</v>
      </c>
      <c r="N158" s="189">
        <f>N153/N154</f>
        <v>0.21958456973293769</v>
      </c>
    </row>
    <row r="159" spans="1:14" x14ac:dyDescent="0.2">
      <c r="A159" s="105"/>
      <c r="B159" s="229"/>
      <c r="C159" s="144"/>
      <c r="D159" s="143"/>
      <c r="E159" s="141"/>
      <c r="F159" s="142"/>
      <c r="G159" s="143"/>
      <c r="H159" s="141"/>
      <c r="I159" s="142"/>
      <c r="J159" s="143"/>
      <c r="K159" s="141"/>
      <c r="L159" s="142"/>
      <c r="M159" s="169"/>
      <c r="N159" s="185"/>
    </row>
    <row r="160" spans="1:14" ht="16" thickBot="1" x14ac:dyDescent="0.25">
      <c r="A160" s="106"/>
      <c r="B160" s="312"/>
      <c r="C160" s="313"/>
      <c r="D160" s="131"/>
      <c r="E160" s="129"/>
      <c r="F160" s="130"/>
      <c r="G160" s="131"/>
      <c r="H160" s="129"/>
      <c r="I160" s="130"/>
      <c r="J160" s="131"/>
      <c r="K160" s="129"/>
      <c r="L160" s="130"/>
      <c r="M160" s="132"/>
      <c r="N160" s="119"/>
    </row>
    <row r="161" spans="1:14" ht="16" thickBot="1" x14ac:dyDescent="0.25">
      <c r="A161" s="99" t="s">
        <v>75</v>
      </c>
      <c r="B161" s="120">
        <v>45292</v>
      </c>
      <c r="C161" s="121">
        <v>45323</v>
      </c>
      <c r="D161" s="122">
        <v>45352</v>
      </c>
      <c r="E161" s="120">
        <v>45383</v>
      </c>
      <c r="F161" s="121">
        <v>45413</v>
      </c>
      <c r="G161" s="122">
        <v>45444</v>
      </c>
      <c r="H161" s="120">
        <v>45474</v>
      </c>
      <c r="I161" s="121">
        <v>45505</v>
      </c>
      <c r="J161" s="122">
        <v>45536</v>
      </c>
      <c r="K161" s="120">
        <v>45566</v>
      </c>
      <c r="L161" s="121">
        <v>45597</v>
      </c>
      <c r="M161" s="123">
        <v>45627</v>
      </c>
      <c r="N161" s="406" t="s">
        <v>7</v>
      </c>
    </row>
    <row r="162" spans="1:14" x14ac:dyDescent="0.2">
      <c r="A162" s="105" t="s">
        <v>72</v>
      </c>
      <c r="B162" s="141">
        <v>36</v>
      </c>
      <c r="C162" s="142">
        <v>43</v>
      </c>
      <c r="D162" s="143">
        <v>81</v>
      </c>
      <c r="E162" s="141">
        <v>76</v>
      </c>
      <c r="F162" s="142">
        <v>70</v>
      </c>
      <c r="G162" s="143">
        <v>143</v>
      </c>
      <c r="H162" s="141">
        <v>171</v>
      </c>
      <c r="I162" s="142">
        <v>187</v>
      </c>
      <c r="J162" s="143">
        <v>159</v>
      </c>
      <c r="K162" s="141">
        <v>145</v>
      </c>
      <c r="L162" s="142">
        <v>99</v>
      </c>
      <c r="M162" s="169">
        <v>96</v>
      </c>
      <c r="N162" s="397">
        <f>SUM(B162:M162)</f>
        <v>1306</v>
      </c>
    </row>
    <row r="163" spans="1:14" x14ac:dyDescent="0.2">
      <c r="A163" s="103" t="s">
        <v>71</v>
      </c>
      <c r="B163" s="146">
        <v>213</v>
      </c>
      <c r="C163" s="109">
        <v>204</v>
      </c>
      <c r="D163" s="147">
        <v>221</v>
      </c>
      <c r="E163" s="146">
        <v>150</v>
      </c>
      <c r="F163" s="109">
        <v>86</v>
      </c>
      <c r="G163" s="147">
        <v>282</v>
      </c>
      <c r="H163" s="146">
        <v>328</v>
      </c>
      <c r="I163" s="109">
        <v>381</v>
      </c>
      <c r="J163" s="147">
        <v>375</v>
      </c>
      <c r="K163" s="146">
        <v>433</v>
      </c>
      <c r="L163" s="109">
        <v>442</v>
      </c>
      <c r="M163" s="154">
        <v>446</v>
      </c>
      <c r="N163" s="153">
        <f t="shared" ref="N163:N165" si="205">SUM(B163:M163)</f>
        <v>3561</v>
      </c>
    </row>
    <row r="164" spans="1:14" ht="16" thickBot="1" x14ac:dyDescent="0.25">
      <c r="A164" s="106" t="s">
        <v>31</v>
      </c>
      <c r="B164" s="129">
        <v>41</v>
      </c>
      <c r="C164" s="130">
        <v>32</v>
      </c>
      <c r="D164" s="131">
        <v>54</v>
      </c>
      <c r="E164" s="129">
        <v>62</v>
      </c>
      <c r="F164" s="130">
        <v>47</v>
      </c>
      <c r="G164" s="131">
        <v>57</v>
      </c>
      <c r="H164" s="129">
        <v>60</v>
      </c>
      <c r="I164" s="130">
        <v>69</v>
      </c>
      <c r="J164" s="131">
        <v>75</v>
      </c>
      <c r="K164" s="129">
        <v>28</v>
      </c>
      <c r="L164" s="130"/>
      <c r="M164" s="132"/>
      <c r="N164" s="133">
        <f t="shared" si="205"/>
        <v>525</v>
      </c>
    </row>
    <row r="165" spans="1:14" ht="16" thickBot="1" x14ac:dyDescent="0.25">
      <c r="A165" s="95" t="s">
        <v>24</v>
      </c>
      <c r="B165" s="398">
        <f t="shared" ref="B165:I165" si="206">SUM(B162:B164)</f>
        <v>290</v>
      </c>
      <c r="C165" s="399">
        <f t="shared" si="206"/>
        <v>279</v>
      </c>
      <c r="D165" s="400">
        <f t="shared" si="206"/>
        <v>356</v>
      </c>
      <c r="E165" s="398">
        <f t="shared" si="206"/>
        <v>288</v>
      </c>
      <c r="F165" s="399">
        <f t="shared" si="206"/>
        <v>203</v>
      </c>
      <c r="G165" s="400">
        <f t="shared" si="206"/>
        <v>482</v>
      </c>
      <c r="H165" s="398">
        <f t="shared" si="206"/>
        <v>559</v>
      </c>
      <c r="I165" s="399">
        <f t="shared" si="206"/>
        <v>637</v>
      </c>
      <c r="J165" s="400">
        <f>SUM(J162:J164)</f>
        <v>609</v>
      </c>
      <c r="K165" s="398">
        <f>SUM(K162:K164)</f>
        <v>606</v>
      </c>
      <c r="L165" s="399">
        <f>SUM(L162:L164)</f>
        <v>541</v>
      </c>
      <c r="M165" s="392">
        <f>SUM(M162:M164)</f>
        <v>542</v>
      </c>
      <c r="N165" s="195">
        <f t="shared" si="205"/>
        <v>5392</v>
      </c>
    </row>
    <row r="166" spans="1:14" ht="16" thickBot="1" x14ac:dyDescent="0.25">
      <c r="A166" s="99" t="s">
        <v>92</v>
      </c>
      <c r="B166" s="120">
        <v>45292</v>
      </c>
      <c r="C166" s="121">
        <v>45323</v>
      </c>
      <c r="D166" s="122">
        <v>45352</v>
      </c>
      <c r="E166" s="120">
        <v>45383</v>
      </c>
      <c r="F166" s="121">
        <v>45413</v>
      </c>
      <c r="G166" s="122">
        <v>45444</v>
      </c>
      <c r="H166" s="120">
        <v>45474</v>
      </c>
      <c r="I166" s="121">
        <v>45505</v>
      </c>
      <c r="J166" s="122">
        <v>45536</v>
      </c>
      <c r="K166" s="120">
        <v>45566</v>
      </c>
      <c r="L166" s="121">
        <v>45597</v>
      </c>
      <c r="M166" s="123">
        <v>45627</v>
      </c>
      <c r="N166" s="256"/>
    </row>
    <row r="167" spans="1:14" x14ac:dyDescent="0.2">
      <c r="A167" s="105" t="s">
        <v>72</v>
      </c>
      <c r="B167" s="229">
        <f t="shared" ref="B167:D167" ca="1" si="207">B$164/B$167</f>
        <v>0.12413793103448276</v>
      </c>
      <c r="C167" s="144">
        <f t="shared" ca="1" si="207"/>
        <v>0.15412186379928317</v>
      </c>
      <c r="D167" s="230">
        <f t="shared" ca="1" si="207"/>
        <v>0.22752808988764045</v>
      </c>
      <c r="E167" s="229">
        <f t="shared" ref="E167:J167" si="208">E$162/E$165</f>
        <v>0.2638888888888889</v>
      </c>
      <c r="F167" s="144">
        <f t="shared" si="208"/>
        <v>0.34482758620689657</v>
      </c>
      <c r="G167" s="230">
        <f t="shared" si="208"/>
        <v>0.2966804979253112</v>
      </c>
      <c r="H167" s="229">
        <f t="shared" si="208"/>
        <v>0.30590339892665475</v>
      </c>
      <c r="I167" s="144">
        <f t="shared" si="208"/>
        <v>0.29356357927786497</v>
      </c>
      <c r="J167" s="230">
        <f t="shared" si="208"/>
        <v>0.26108374384236455</v>
      </c>
      <c r="K167" s="229">
        <f>K$162/K$165</f>
        <v>0.23927392739273928</v>
      </c>
      <c r="L167" s="144">
        <f>L$162/L$165</f>
        <v>0.18299445471349354</v>
      </c>
      <c r="M167" s="145">
        <f>M$162/M$165</f>
        <v>0.17712177121771217</v>
      </c>
      <c r="N167" s="292">
        <f>N162/N165</f>
        <v>0.2422106824925816</v>
      </c>
    </row>
    <row r="168" spans="1:14" x14ac:dyDescent="0.2">
      <c r="A168" s="103" t="s">
        <v>71</v>
      </c>
      <c r="B168" s="172">
        <f t="shared" ref="B168:D168" ca="1" si="209">B$165/B$167</f>
        <v>0.73448275862068968</v>
      </c>
      <c r="C168" s="170">
        <f t="shared" ca="1" si="209"/>
        <v>0.73118279569892475</v>
      </c>
      <c r="D168" s="171">
        <f t="shared" ca="1" si="209"/>
        <v>0.6207865168539326</v>
      </c>
      <c r="E168" s="172">
        <f t="shared" ref="E168:J168" si="210">E$163/E$165</f>
        <v>0.52083333333333337</v>
      </c>
      <c r="F168" s="170">
        <f t="shared" si="210"/>
        <v>0.42364532019704432</v>
      </c>
      <c r="G168" s="171">
        <f t="shared" si="210"/>
        <v>0.58506224066390045</v>
      </c>
      <c r="H168" s="172">
        <f t="shared" si="210"/>
        <v>0.58676207513416812</v>
      </c>
      <c r="I168" s="170">
        <f t="shared" si="210"/>
        <v>0.59811616954474101</v>
      </c>
      <c r="J168" s="171">
        <f t="shared" si="210"/>
        <v>0.61576354679802958</v>
      </c>
      <c r="K168" s="172">
        <f>K$163/K$165</f>
        <v>0.71452145214521456</v>
      </c>
      <c r="L168" s="170">
        <f>L$163/L$165</f>
        <v>0.81700554528650648</v>
      </c>
      <c r="M168" s="173">
        <f>M$163/M$165</f>
        <v>0.82287822878228778</v>
      </c>
      <c r="N168" s="188">
        <f>N163/N165</f>
        <v>0.66042284866468848</v>
      </c>
    </row>
    <row r="169" spans="1:14" x14ac:dyDescent="0.2">
      <c r="A169" s="103" t="s">
        <v>31</v>
      </c>
      <c r="B169" s="172">
        <f t="shared" ref="B169:D169" ca="1" si="211">B$166/B$167</f>
        <v>0.14137931034482759</v>
      </c>
      <c r="C169" s="170">
        <f t="shared" ca="1" si="211"/>
        <v>0.11469534050179211</v>
      </c>
      <c r="D169" s="171">
        <f t="shared" ca="1" si="211"/>
        <v>0.15168539325842698</v>
      </c>
      <c r="E169" s="172">
        <f t="shared" ref="E169:J169" si="212">E$164/E$165</f>
        <v>0.21527777777777779</v>
      </c>
      <c r="F169" s="170">
        <f t="shared" si="212"/>
        <v>0.23152709359605911</v>
      </c>
      <c r="G169" s="171">
        <f t="shared" si="212"/>
        <v>0.11825726141078838</v>
      </c>
      <c r="H169" s="172">
        <f t="shared" si="212"/>
        <v>0.1073345259391771</v>
      </c>
      <c r="I169" s="170">
        <f t="shared" si="212"/>
        <v>0.10832025117739404</v>
      </c>
      <c r="J169" s="171">
        <f t="shared" si="212"/>
        <v>0.12315270935960591</v>
      </c>
      <c r="K169" s="172">
        <f>K$164/K$165</f>
        <v>4.6204620462046202E-2</v>
      </c>
      <c r="L169" s="170">
        <f>L$164/L$165</f>
        <v>0</v>
      </c>
      <c r="M169" s="173">
        <f>M$164/M$165</f>
        <v>0</v>
      </c>
      <c r="N169" s="188">
        <f>N164/N165</f>
        <v>9.7366468842729967E-2</v>
      </c>
    </row>
    <row r="170" spans="1:14" x14ac:dyDescent="0.2">
      <c r="A170" s="103" t="s">
        <v>14</v>
      </c>
      <c r="B170" s="146"/>
      <c r="C170" s="109"/>
      <c r="D170" s="147"/>
      <c r="E170" s="146"/>
      <c r="F170" s="109"/>
      <c r="G170" s="147"/>
      <c r="H170" s="146"/>
      <c r="I170" s="109"/>
      <c r="J170" s="147"/>
      <c r="K170" s="146"/>
      <c r="L170" s="109"/>
      <c r="M170" s="154"/>
      <c r="N170" s="153"/>
    </row>
    <row r="171" spans="1:14" ht="16" thickBot="1" x14ac:dyDescent="0.25">
      <c r="A171" s="107" t="s">
        <v>76</v>
      </c>
      <c r="B171" s="314">
        <f t="shared" ref="B171:G171" si="213">B$162/B$6</f>
        <v>1.2857142857142858</v>
      </c>
      <c r="C171" s="315">
        <f t="shared" si="213"/>
        <v>1.5357142857142858</v>
      </c>
      <c r="D171" s="316">
        <f t="shared" si="213"/>
        <v>2.8928571428571428</v>
      </c>
      <c r="E171" s="314">
        <f t="shared" si="213"/>
        <v>2.9230769230769229</v>
      </c>
      <c r="F171" s="315">
        <f t="shared" si="213"/>
        <v>2.9166666666666665</v>
      </c>
      <c r="G171" s="316">
        <f t="shared" si="213"/>
        <v>5.5</v>
      </c>
      <c r="H171" s="314">
        <f t="shared" ref="H171:M171" si="214">H$162/H$6</f>
        <v>5.5161290322580649</v>
      </c>
      <c r="I171" s="315">
        <f t="shared" si="214"/>
        <v>6.032258064516129</v>
      </c>
      <c r="J171" s="316">
        <f t="shared" si="214"/>
        <v>5.3</v>
      </c>
      <c r="K171" s="314">
        <f t="shared" si="214"/>
        <v>5</v>
      </c>
      <c r="L171" s="315">
        <f t="shared" si="214"/>
        <v>3.3</v>
      </c>
      <c r="M171" s="317">
        <f t="shared" si="214"/>
        <v>3.096774193548387</v>
      </c>
      <c r="N171" s="318">
        <f>SUM(B171:M171)/12</f>
        <v>3.7749325495293231</v>
      </c>
    </row>
    <row r="172" spans="1:14" ht="16" thickBot="1" x14ac:dyDescent="0.25">
      <c r="A172" s="44"/>
      <c r="B172" s="163"/>
      <c r="C172" s="164"/>
      <c r="D172" s="165"/>
      <c r="E172" s="163"/>
      <c r="F172" s="164"/>
      <c r="G172" s="165"/>
      <c r="H172" s="163"/>
      <c r="I172" s="164"/>
      <c r="J172" s="165"/>
      <c r="K172" s="163"/>
      <c r="L172" s="164"/>
      <c r="M172" s="180"/>
      <c r="N172" s="168"/>
    </row>
    <row r="173" spans="1:14" ht="16" thickBot="1" x14ac:dyDescent="0.25">
      <c r="A173" s="99" t="s">
        <v>77</v>
      </c>
      <c r="B173" s="120">
        <v>45292</v>
      </c>
      <c r="C173" s="121">
        <v>45323</v>
      </c>
      <c r="D173" s="122">
        <v>45352</v>
      </c>
      <c r="E173" s="120">
        <v>45383</v>
      </c>
      <c r="F173" s="121">
        <v>45413</v>
      </c>
      <c r="G173" s="122">
        <v>45444</v>
      </c>
      <c r="H173" s="120">
        <v>45474</v>
      </c>
      <c r="I173" s="121">
        <v>45505</v>
      </c>
      <c r="J173" s="122">
        <v>45536</v>
      </c>
      <c r="K173" s="120">
        <v>45566</v>
      </c>
      <c r="L173" s="121">
        <v>45597</v>
      </c>
      <c r="M173" s="123">
        <v>45627</v>
      </c>
      <c r="N173" s="406" t="s">
        <v>7</v>
      </c>
    </row>
    <row r="174" spans="1:14" x14ac:dyDescent="0.2">
      <c r="A174" s="105" t="s">
        <v>72</v>
      </c>
      <c r="B174" s="141"/>
      <c r="C174" s="142"/>
      <c r="D174" s="143"/>
      <c r="E174" s="141">
        <v>141</v>
      </c>
      <c r="F174" s="142">
        <v>100</v>
      </c>
      <c r="G174" s="143">
        <v>276</v>
      </c>
      <c r="H174" s="141">
        <v>300</v>
      </c>
      <c r="I174" s="142">
        <v>319</v>
      </c>
      <c r="J174" s="143">
        <v>312</v>
      </c>
      <c r="K174" s="141">
        <v>297</v>
      </c>
      <c r="L174" s="142">
        <v>286</v>
      </c>
      <c r="M174" s="169">
        <v>303</v>
      </c>
      <c r="N174" s="397">
        <f>SUM(E174:M174)</f>
        <v>2334</v>
      </c>
    </row>
    <row r="175" spans="1:14" x14ac:dyDescent="0.2">
      <c r="A175" s="103" t="s">
        <v>71</v>
      </c>
      <c r="B175" s="146"/>
      <c r="C175" s="109"/>
      <c r="D175" s="147"/>
      <c r="E175" s="146">
        <v>90</v>
      </c>
      <c r="F175" s="109">
        <v>63</v>
      </c>
      <c r="G175" s="147">
        <v>163</v>
      </c>
      <c r="H175" s="146">
        <v>215</v>
      </c>
      <c r="I175" s="109">
        <v>255</v>
      </c>
      <c r="J175" s="147">
        <v>224</v>
      </c>
      <c r="K175" s="146">
        <v>227</v>
      </c>
      <c r="L175" s="109">
        <v>179</v>
      </c>
      <c r="M175" s="154">
        <v>185</v>
      </c>
      <c r="N175" s="153">
        <f t="shared" ref="N175:N177" si="215">SUM(E175:M175)</f>
        <v>1601</v>
      </c>
    </row>
    <row r="176" spans="1:14" ht="16" thickBot="1" x14ac:dyDescent="0.25">
      <c r="A176" s="106" t="s">
        <v>31</v>
      </c>
      <c r="B176" s="129"/>
      <c r="C176" s="130"/>
      <c r="D176" s="131"/>
      <c r="E176" s="129">
        <v>57</v>
      </c>
      <c r="F176" s="130">
        <v>40</v>
      </c>
      <c r="G176" s="131">
        <v>43</v>
      </c>
      <c r="H176" s="129">
        <v>44</v>
      </c>
      <c r="I176" s="130">
        <v>63</v>
      </c>
      <c r="J176" s="131">
        <v>73</v>
      </c>
      <c r="K176" s="129">
        <v>82</v>
      </c>
      <c r="L176" s="130">
        <v>76</v>
      </c>
      <c r="M176" s="132">
        <v>54</v>
      </c>
      <c r="N176" s="133">
        <f t="shared" si="215"/>
        <v>532</v>
      </c>
    </row>
    <row r="177" spans="1:14" ht="16" thickBot="1" x14ac:dyDescent="0.25">
      <c r="A177" s="95" t="s">
        <v>24</v>
      </c>
      <c r="B177" s="190"/>
      <c r="C177" s="191"/>
      <c r="D177" s="192"/>
      <c r="E177" s="398">
        <f t="shared" ref="E177:J177" si="216">SUM(E174:E176)</f>
        <v>288</v>
      </c>
      <c r="F177" s="399">
        <f t="shared" si="216"/>
        <v>203</v>
      </c>
      <c r="G177" s="400">
        <f t="shared" si="216"/>
        <v>482</v>
      </c>
      <c r="H177" s="398">
        <f t="shared" si="216"/>
        <v>559</v>
      </c>
      <c r="I177" s="399">
        <f t="shared" si="216"/>
        <v>637</v>
      </c>
      <c r="J177" s="400">
        <f t="shared" si="216"/>
        <v>609</v>
      </c>
      <c r="K177" s="398">
        <f>SUM(K174:K176)</f>
        <v>606</v>
      </c>
      <c r="L177" s="399">
        <f>SUM(L174:L176)</f>
        <v>541</v>
      </c>
      <c r="M177" s="392">
        <f>SUM(M174:M176)</f>
        <v>542</v>
      </c>
      <c r="N177" s="195">
        <f t="shared" si="215"/>
        <v>4467</v>
      </c>
    </row>
    <row r="178" spans="1:14" ht="16" thickBot="1" x14ac:dyDescent="0.25">
      <c r="A178" s="99" t="s">
        <v>92</v>
      </c>
      <c r="B178" s="120">
        <v>45292</v>
      </c>
      <c r="C178" s="121">
        <v>45323</v>
      </c>
      <c r="D178" s="122">
        <v>45352</v>
      </c>
      <c r="E178" s="120">
        <v>45383</v>
      </c>
      <c r="F178" s="121">
        <v>45413</v>
      </c>
      <c r="G178" s="122">
        <v>45444</v>
      </c>
      <c r="H178" s="120">
        <v>45474</v>
      </c>
      <c r="I178" s="121">
        <v>45505</v>
      </c>
      <c r="J178" s="122">
        <v>45536</v>
      </c>
      <c r="K178" s="120">
        <v>45566</v>
      </c>
      <c r="L178" s="121">
        <v>45597</v>
      </c>
      <c r="M178" s="123">
        <v>45627</v>
      </c>
      <c r="N178" s="406"/>
    </row>
    <row r="179" spans="1:14" x14ac:dyDescent="0.2">
      <c r="A179" s="105" t="s">
        <v>72</v>
      </c>
      <c r="B179" s="141"/>
      <c r="C179" s="142"/>
      <c r="D179" s="143"/>
      <c r="E179" s="319">
        <f t="shared" ref="E179:J179" si="217">E174/E177</f>
        <v>0.48958333333333331</v>
      </c>
      <c r="F179" s="320">
        <f t="shared" si="217"/>
        <v>0.49261083743842365</v>
      </c>
      <c r="G179" s="321">
        <f t="shared" si="217"/>
        <v>0.57261410788381739</v>
      </c>
      <c r="H179" s="319">
        <f t="shared" si="217"/>
        <v>0.53667262969588547</v>
      </c>
      <c r="I179" s="320">
        <f t="shared" si="217"/>
        <v>0.50078492935635788</v>
      </c>
      <c r="J179" s="321">
        <f t="shared" si="217"/>
        <v>0.51231527093596063</v>
      </c>
      <c r="K179" s="319">
        <f>K174/K177</f>
        <v>0.49009900990099009</v>
      </c>
      <c r="L179" s="320">
        <f>L174/L177</f>
        <v>0.52865064695009245</v>
      </c>
      <c r="M179" s="322">
        <f>M174/M177</f>
        <v>0.55904059040590404</v>
      </c>
      <c r="N179" s="292">
        <f>N174/N177</f>
        <v>0.52249832102081939</v>
      </c>
    </row>
    <row r="180" spans="1:14" x14ac:dyDescent="0.2">
      <c r="A180" s="103" t="s">
        <v>71</v>
      </c>
      <c r="B180" s="146"/>
      <c r="C180" s="109"/>
      <c r="D180" s="147"/>
      <c r="E180" s="296">
        <f t="shared" ref="E180:J180" si="218">E175/E177</f>
        <v>0.3125</v>
      </c>
      <c r="F180" s="297">
        <f t="shared" si="218"/>
        <v>0.31034482758620691</v>
      </c>
      <c r="G180" s="295">
        <f t="shared" si="218"/>
        <v>0.33817427385892118</v>
      </c>
      <c r="H180" s="296">
        <f t="shared" si="218"/>
        <v>0.38461538461538464</v>
      </c>
      <c r="I180" s="297">
        <f t="shared" si="218"/>
        <v>0.40031397174254318</v>
      </c>
      <c r="J180" s="295">
        <f t="shared" si="218"/>
        <v>0.36781609195402298</v>
      </c>
      <c r="K180" s="296">
        <f>K175/K177</f>
        <v>0.37458745874587457</v>
      </c>
      <c r="L180" s="297">
        <f>L175/L177</f>
        <v>0.33086876155268025</v>
      </c>
      <c r="M180" s="298">
        <f>M175/M177</f>
        <v>0.34132841328413283</v>
      </c>
      <c r="N180" s="188">
        <f>N175/N177</f>
        <v>0.35840608909782851</v>
      </c>
    </row>
    <row r="181" spans="1:14" ht="16" thickBot="1" x14ac:dyDescent="0.25">
      <c r="A181" s="106" t="s">
        <v>31</v>
      </c>
      <c r="B181" s="129"/>
      <c r="C181" s="130"/>
      <c r="D181" s="131"/>
      <c r="E181" s="323">
        <f t="shared" ref="E181:J181" si="219">E176/E177</f>
        <v>0.19791666666666666</v>
      </c>
      <c r="F181" s="324">
        <f t="shared" si="219"/>
        <v>0.19704433497536947</v>
      </c>
      <c r="G181" s="325">
        <f t="shared" si="219"/>
        <v>8.9211618257261413E-2</v>
      </c>
      <c r="H181" s="323">
        <f t="shared" si="219"/>
        <v>7.8711985688729877E-2</v>
      </c>
      <c r="I181" s="324">
        <f t="shared" si="219"/>
        <v>9.8901098901098897E-2</v>
      </c>
      <c r="J181" s="325">
        <f t="shared" si="219"/>
        <v>0.11986863711001643</v>
      </c>
      <c r="K181" s="323">
        <f>K176/K177</f>
        <v>0.13531353135313531</v>
      </c>
      <c r="L181" s="324">
        <f>L176/L177</f>
        <v>0.14048059149722736</v>
      </c>
      <c r="M181" s="326">
        <f>M176/M177</f>
        <v>9.9630996309963096E-2</v>
      </c>
      <c r="N181" s="327">
        <f>N176/N177</f>
        <v>0.11909558988135213</v>
      </c>
    </row>
    <row r="182" spans="1:14" ht="16" thickBot="1" x14ac:dyDescent="0.25">
      <c r="A182" s="99" t="s">
        <v>14</v>
      </c>
      <c r="B182" s="120">
        <v>45292</v>
      </c>
      <c r="C182" s="121">
        <v>45323</v>
      </c>
      <c r="D182" s="122">
        <v>45352</v>
      </c>
      <c r="E182" s="120">
        <v>45383</v>
      </c>
      <c r="F182" s="121">
        <v>45413</v>
      </c>
      <c r="G182" s="122">
        <v>45444</v>
      </c>
      <c r="H182" s="120">
        <v>45474</v>
      </c>
      <c r="I182" s="121">
        <v>45505</v>
      </c>
      <c r="J182" s="122">
        <v>45536</v>
      </c>
      <c r="K182" s="120">
        <v>45566</v>
      </c>
      <c r="L182" s="121">
        <v>45597</v>
      </c>
      <c r="M182" s="123">
        <v>45627</v>
      </c>
      <c r="N182" s="406"/>
    </row>
    <row r="183" spans="1:14" ht="16" thickBot="1" x14ac:dyDescent="0.25">
      <c r="A183" s="98" t="s">
        <v>79</v>
      </c>
      <c r="B183" s="328"/>
      <c r="C183" s="329"/>
      <c r="D183" s="330"/>
      <c r="E183" s="331">
        <f t="shared" ref="E183:J183" si="220">E174/E6</f>
        <v>5.4230769230769234</v>
      </c>
      <c r="F183" s="332">
        <f t="shared" si="220"/>
        <v>4.166666666666667</v>
      </c>
      <c r="G183" s="333">
        <f t="shared" si="220"/>
        <v>10.615384615384615</v>
      </c>
      <c r="H183" s="331">
        <f t="shared" si="220"/>
        <v>9.67741935483871</v>
      </c>
      <c r="I183" s="332">
        <f t="shared" si="220"/>
        <v>10.290322580645162</v>
      </c>
      <c r="J183" s="333">
        <f t="shared" si="220"/>
        <v>10.4</v>
      </c>
      <c r="K183" s="331">
        <f>K174/K6</f>
        <v>10.241379310344827</v>
      </c>
      <c r="L183" s="332">
        <f>L174/L6</f>
        <v>9.5333333333333332</v>
      </c>
      <c r="M183" s="334">
        <f>M174/M6</f>
        <v>9.7741935483870961</v>
      </c>
      <c r="N183" s="335">
        <f>SUM(B183:M183)/9</f>
        <v>8.9024195925197045</v>
      </c>
    </row>
    <row r="184" spans="1:14" ht="16" thickBot="1" x14ac:dyDescent="0.25">
      <c r="A184" s="44"/>
      <c r="B184" s="163"/>
      <c r="C184" s="164"/>
      <c r="D184" s="165"/>
      <c r="E184" s="163"/>
      <c r="F184" s="164"/>
      <c r="G184" s="165"/>
      <c r="H184" s="163"/>
      <c r="I184" s="164"/>
      <c r="J184" s="165"/>
      <c r="K184" s="163"/>
      <c r="L184" s="164"/>
      <c r="M184" s="180"/>
      <c r="N184" s="168"/>
    </row>
    <row r="185" spans="1:14" ht="16" thickBot="1" x14ac:dyDescent="0.25">
      <c r="A185" s="99" t="s">
        <v>80</v>
      </c>
      <c r="B185" s="120">
        <v>45292</v>
      </c>
      <c r="C185" s="121">
        <v>45323</v>
      </c>
      <c r="D185" s="122">
        <v>45352</v>
      </c>
      <c r="E185" s="120">
        <v>45383</v>
      </c>
      <c r="F185" s="121">
        <v>45413</v>
      </c>
      <c r="G185" s="122">
        <v>45444</v>
      </c>
      <c r="H185" s="120">
        <v>45474</v>
      </c>
      <c r="I185" s="121">
        <v>45505</v>
      </c>
      <c r="J185" s="122">
        <v>45536</v>
      </c>
      <c r="K185" s="120">
        <v>45566</v>
      </c>
      <c r="L185" s="121">
        <v>45597</v>
      </c>
      <c r="M185" s="123">
        <v>45627</v>
      </c>
      <c r="N185" s="406" t="s">
        <v>7</v>
      </c>
    </row>
    <row r="186" spans="1:14" x14ac:dyDescent="0.2">
      <c r="A186" s="105" t="s">
        <v>81</v>
      </c>
      <c r="B186" s="181"/>
      <c r="C186" s="182"/>
      <c r="D186" s="183"/>
      <c r="E186" s="141">
        <v>175</v>
      </c>
      <c r="F186" s="142">
        <v>125</v>
      </c>
      <c r="G186" s="143">
        <v>362</v>
      </c>
      <c r="H186" s="141">
        <v>412</v>
      </c>
      <c r="I186" s="142">
        <v>449</v>
      </c>
      <c r="J186" s="143">
        <v>440</v>
      </c>
      <c r="K186" s="141">
        <v>452</v>
      </c>
      <c r="L186" s="142">
        <v>416</v>
      </c>
      <c r="M186" s="169">
        <v>403</v>
      </c>
      <c r="N186" s="397">
        <f>SUM(B186:M186)</f>
        <v>3234</v>
      </c>
    </row>
    <row r="187" spans="1:14" x14ac:dyDescent="0.2">
      <c r="A187" s="103" t="s">
        <v>82</v>
      </c>
      <c r="B187" s="213"/>
      <c r="C187" s="211"/>
      <c r="D187" s="212"/>
      <c r="E187" s="146">
        <v>37</v>
      </c>
      <c r="F187" s="109">
        <v>22</v>
      </c>
      <c r="G187" s="147">
        <v>42</v>
      </c>
      <c r="H187" s="146">
        <v>66</v>
      </c>
      <c r="I187" s="109">
        <v>62</v>
      </c>
      <c r="J187" s="147">
        <v>79</v>
      </c>
      <c r="K187" s="146">
        <v>55</v>
      </c>
      <c r="L187" s="109">
        <v>47</v>
      </c>
      <c r="M187" s="154">
        <v>51</v>
      </c>
      <c r="N187" s="153">
        <f t="shared" ref="N187:N196" si="221">SUM(B187:M187)</f>
        <v>461</v>
      </c>
    </row>
    <row r="188" spans="1:14" x14ac:dyDescent="0.2">
      <c r="A188" s="103" t="s">
        <v>83</v>
      </c>
      <c r="B188" s="213"/>
      <c r="C188" s="211"/>
      <c r="D188" s="212"/>
      <c r="E188" s="146">
        <v>18</v>
      </c>
      <c r="F188" s="109">
        <v>7</v>
      </c>
      <c r="G188" s="147">
        <v>13</v>
      </c>
      <c r="H188" s="146">
        <v>6</v>
      </c>
      <c r="I188" s="109">
        <v>18</v>
      </c>
      <c r="J188" s="147">
        <v>18</v>
      </c>
      <c r="K188" s="146">
        <v>14</v>
      </c>
      <c r="L188" s="109">
        <v>11</v>
      </c>
      <c r="M188" s="154">
        <v>16</v>
      </c>
      <c r="N188" s="153">
        <f t="shared" si="221"/>
        <v>121</v>
      </c>
    </row>
    <row r="189" spans="1:14" x14ac:dyDescent="0.2">
      <c r="A189" s="103" t="s">
        <v>84</v>
      </c>
      <c r="B189" s="213"/>
      <c r="C189" s="211"/>
      <c r="D189" s="212"/>
      <c r="E189" s="146">
        <v>7</v>
      </c>
      <c r="F189" s="109">
        <v>6</v>
      </c>
      <c r="G189" s="147">
        <v>5</v>
      </c>
      <c r="H189" s="146">
        <v>10</v>
      </c>
      <c r="I189" s="109">
        <v>19</v>
      </c>
      <c r="J189" s="147">
        <v>10</v>
      </c>
      <c r="K189" s="146">
        <v>13</v>
      </c>
      <c r="L189" s="109">
        <v>9</v>
      </c>
      <c r="M189" s="154">
        <v>8</v>
      </c>
      <c r="N189" s="153">
        <f t="shared" si="221"/>
        <v>87</v>
      </c>
    </row>
    <row r="190" spans="1:14" x14ac:dyDescent="0.2">
      <c r="A190" s="103" t="s">
        <v>85</v>
      </c>
      <c r="B190" s="213"/>
      <c r="C190" s="211"/>
      <c r="D190" s="212"/>
      <c r="E190" s="146">
        <v>12</v>
      </c>
      <c r="F190" s="109">
        <v>8</v>
      </c>
      <c r="G190" s="147">
        <v>22</v>
      </c>
      <c r="H190" s="146">
        <v>19</v>
      </c>
      <c r="I190" s="109">
        <v>37</v>
      </c>
      <c r="J190" s="147">
        <v>27</v>
      </c>
      <c r="K190" s="146">
        <v>26</v>
      </c>
      <c r="L190" s="109">
        <v>21</v>
      </c>
      <c r="M190" s="154">
        <v>16</v>
      </c>
      <c r="N190" s="153">
        <f t="shared" si="221"/>
        <v>188</v>
      </c>
    </row>
    <row r="191" spans="1:14" x14ac:dyDescent="0.2">
      <c r="A191" s="103" t="s">
        <v>86</v>
      </c>
      <c r="B191" s="213"/>
      <c r="C191" s="211"/>
      <c r="D191" s="212"/>
      <c r="E191" s="146">
        <v>8</v>
      </c>
      <c r="F191" s="109">
        <v>14</v>
      </c>
      <c r="G191" s="147">
        <v>14</v>
      </c>
      <c r="H191" s="146">
        <v>16</v>
      </c>
      <c r="I191" s="109">
        <v>24</v>
      </c>
      <c r="J191" s="147">
        <v>14</v>
      </c>
      <c r="K191" s="146">
        <v>13</v>
      </c>
      <c r="L191" s="109">
        <v>12</v>
      </c>
      <c r="M191" s="154">
        <v>16</v>
      </c>
      <c r="N191" s="153">
        <f t="shared" si="221"/>
        <v>131</v>
      </c>
    </row>
    <row r="192" spans="1:14" x14ac:dyDescent="0.2">
      <c r="A192" s="103" t="s">
        <v>87</v>
      </c>
      <c r="B192" s="213"/>
      <c r="C192" s="211"/>
      <c r="D192" s="212"/>
      <c r="E192" s="146">
        <v>5</v>
      </c>
      <c r="F192" s="109">
        <v>5</v>
      </c>
      <c r="G192" s="147">
        <v>17</v>
      </c>
      <c r="H192" s="146">
        <v>12</v>
      </c>
      <c r="I192" s="109">
        <v>14</v>
      </c>
      <c r="J192" s="147">
        <v>6</v>
      </c>
      <c r="K192" s="146">
        <v>12</v>
      </c>
      <c r="L192" s="109">
        <v>15</v>
      </c>
      <c r="M192" s="154">
        <v>12</v>
      </c>
      <c r="N192" s="153">
        <f t="shared" si="221"/>
        <v>98</v>
      </c>
    </row>
    <row r="193" spans="1:14" x14ac:dyDescent="0.2">
      <c r="A193" s="103" t="s">
        <v>88</v>
      </c>
      <c r="B193" s="213"/>
      <c r="C193" s="211"/>
      <c r="D193" s="212"/>
      <c r="E193" s="146">
        <v>12</v>
      </c>
      <c r="F193" s="109">
        <v>10</v>
      </c>
      <c r="G193" s="147">
        <v>2</v>
      </c>
      <c r="H193" s="146">
        <v>9</v>
      </c>
      <c r="I193" s="109">
        <v>6</v>
      </c>
      <c r="J193" s="147">
        <v>7</v>
      </c>
      <c r="K193" s="146">
        <v>8</v>
      </c>
      <c r="L193" s="109">
        <v>4</v>
      </c>
      <c r="M193" s="154">
        <v>4</v>
      </c>
      <c r="N193" s="153">
        <f t="shared" si="221"/>
        <v>62</v>
      </c>
    </row>
    <row r="194" spans="1:14" x14ac:dyDescent="0.2">
      <c r="A194" s="103" t="s">
        <v>78</v>
      </c>
      <c r="B194" s="213"/>
      <c r="C194" s="211"/>
      <c r="D194" s="212"/>
      <c r="E194" s="146">
        <v>1</v>
      </c>
      <c r="F194" s="109">
        <v>1</v>
      </c>
      <c r="G194" s="147">
        <v>2</v>
      </c>
      <c r="H194" s="146">
        <v>1</v>
      </c>
      <c r="I194" s="109"/>
      <c r="J194" s="147">
        <v>2</v>
      </c>
      <c r="K194" s="146">
        <v>2</v>
      </c>
      <c r="L194" s="109">
        <v>3</v>
      </c>
      <c r="M194" s="154">
        <v>1</v>
      </c>
      <c r="N194" s="153">
        <f t="shared" si="221"/>
        <v>13</v>
      </c>
    </row>
    <row r="195" spans="1:14" ht="16" thickBot="1" x14ac:dyDescent="0.25">
      <c r="A195" s="106" t="s">
        <v>89</v>
      </c>
      <c r="B195" s="258"/>
      <c r="C195" s="259"/>
      <c r="D195" s="260"/>
      <c r="E195" s="129">
        <v>13</v>
      </c>
      <c r="F195" s="130">
        <v>5</v>
      </c>
      <c r="G195" s="131">
        <v>3</v>
      </c>
      <c r="H195" s="129">
        <v>8</v>
      </c>
      <c r="I195" s="130">
        <v>8</v>
      </c>
      <c r="J195" s="131">
        <v>6</v>
      </c>
      <c r="K195" s="129">
        <v>11</v>
      </c>
      <c r="L195" s="130">
        <v>3</v>
      </c>
      <c r="M195" s="132">
        <v>15</v>
      </c>
      <c r="N195" s="133">
        <f t="shared" si="221"/>
        <v>72</v>
      </c>
    </row>
    <row r="196" spans="1:14" ht="16" thickBot="1" x14ac:dyDescent="0.25">
      <c r="A196" s="95" t="s">
        <v>24</v>
      </c>
      <c r="B196" s="398"/>
      <c r="C196" s="399"/>
      <c r="D196" s="400"/>
      <c r="E196" s="398">
        <f t="shared" ref="E196:J196" si="222">SUM(E186:E195)</f>
        <v>288</v>
      </c>
      <c r="F196" s="399">
        <f t="shared" si="222"/>
        <v>203</v>
      </c>
      <c r="G196" s="400">
        <f t="shared" si="222"/>
        <v>482</v>
      </c>
      <c r="H196" s="398">
        <f t="shared" si="222"/>
        <v>559</v>
      </c>
      <c r="I196" s="399">
        <f t="shared" si="222"/>
        <v>637</v>
      </c>
      <c r="J196" s="400">
        <f t="shared" si="222"/>
        <v>609</v>
      </c>
      <c r="K196" s="398">
        <f>SUM(K186:K195)</f>
        <v>606</v>
      </c>
      <c r="L196" s="399">
        <f>SUM(L186:L195)</f>
        <v>541</v>
      </c>
      <c r="M196" s="392">
        <f>SUM(M186:M195)</f>
        <v>542</v>
      </c>
      <c r="N196" s="195">
        <f t="shared" si="221"/>
        <v>4467</v>
      </c>
    </row>
    <row r="197" spans="1:14" ht="16" thickBot="1" x14ac:dyDescent="0.25">
      <c r="A197" s="99" t="s">
        <v>92</v>
      </c>
      <c r="B197" s="120">
        <v>45292</v>
      </c>
      <c r="C197" s="121">
        <v>45323</v>
      </c>
      <c r="D197" s="122">
        <v>45352</v>
      </c>
      <c r="E197" s="120">
        <v>45383</v>
      </c>
      <c r="F197" s="121">
        <v>45413</v>
      </c>
      <c r="G197" s="122">
        <v>45444</v>
      </c>
      <c r="H197" s="120">
        <v>45474</v>
      </c>
      <c r="I197" s="121">
        <v>45505</v>
      </c>
      <c r="J197" s="122">
        <v>45536</v>
      </c>
      <c r="K197" s="120">
        <v>45566</v>
      </c>
      <c r="L197" s="121">
        <v>45597</v>
      </c>
      <c r="M197" s="123">
        <v>45627</v>
      </c>
      <c r="N197" s="406"/>
    </row>
    <row r="198" spans="1:14" x14ac:dyDescent="0.2">
      <c r="A198" s="105" t="s">
        <v>81</v>
      </c>
      <c r="B198" s="181"/>
      <c r="C198" s="182"/>
      <c r="D198" s="183"/>
      <c r="E198" s="319">
        <f t="shared" ref="E198:G207" si="223">E186/E$196</f>
        <v>0.60763888888888884</v>
      </c>
      <c r="F198" s="320">
        <f t="shared" si="223"/>
        <v>0.61576354679802958</v>
      </c>
      <c r="G198" s="321">
        <f t="shared" si="223"/>
        <v>0.75103734439834025</v>
      </c>
      <c r="H198" s="319">
        <f t="shared" ref="H198:I198" si="224">H186/H$196</f>
        <v>0.73703041144901615</v>
      </c>
      <c r="I198" s="320">
        <f t="shared" si="224"/>
        <v>0.70486656200941911</v>
      </c>
      <c r="J198" s="321">
        <f t="shared" ref="J198:J207" si="225">J186/J$196</f>
        <v>0.72249589490968802</v>
      </c>
      <c r="K198" s="319">
        <f t="shared" ref="K198:L207" si="226">K186/K$196</f>
        <v>0.74587458745874591</v>
      </c>
      <c r="L198" s="320">
        <f t="shared" si="226"/>
        <v>0.76894639556377076</v>
      </c>
      <c r="M198" s="322">
        <f t="shared" ref="M198" si="227">M186/M$196</f>
        <v>0.74354243542435428</v>
      </c>
      <c r="N198" s="292">
        <f t="shared" ref="N198:N207" si="228">N186/N$196</f>
        <v>0.72397582269979854</v>
      </c>
    </row>
    <row r="199" spans="1:14" x14ac:dyDescent="0.2">
      <c r="A199" s="103" t="s">
        <v>82</v>
      </c>
      <c r="B199" s="213"/>
      <c r="C199" s="211"/>
      <c r="D199" s="212"/>
      <c r="E199" s="296">
        <f t="shared" si="223"/>
        <v>0.12847222222222221</v>
      </c>
      <c r="F199" s="297">
        <f t="shared" si="223"/>
        <v>0.10837438423645321</v>
      </c>
      <c r="G199" s="295">
        <f t="shared" si="223"/>
        <v>8.7136929460580909E-2</v>
      </c>
      <c r="H199" s="296">
        <f t="shared" ref="H199:I199" si="229">H187/H$196</f>
        <v>0.11806797853309481</v>
      </c>
      <c r="I199" s="297">
        <f t="shared" si="229"/>
        <v>9.7331240188383045E-2</v>
      </c>
      <c r="J199" s="295">
        <f t="shared" si="225"/>
        <v>0.1297208538587849</v>
      </c>
      <c r="K199" s="296">
        <f t="shared" si="226"/>
        <v>9.0759075907590761E-2</v>
      </c>
      <c r="L199" s="297">
        <f t="shared" si="226"/>
        <v>8.6876155268022184E-2</v>
      </c>
      <c r="M199" s="298">
        <f t="shared" ref="M199" si="230">M187/M$196</f>
        <v>9.4095940959409596E-2</v>
      </c>
      <c r="N199" s="188">
        <f t="shared" si="228"/>
        <v>0.10320125363778823</v>
      </c>
    </row>
    <row r="200" spans="1:14" x14ac:dyDescent="0.2">
      <c r="A200" s="103" t="s">
        <v>83</v>
      </c>
      <c r="B200" s="213"/>
      <c r="C200" s="211"/>
      <c r="D200" s="212"/>
      <c r="E200" s="296">
        <f t="shared" si="223"/>
        <v>6.25E-2</v>
      </c>
      <c r="F200" s="297">
        <f t="shared" si="223"/>
        <v>3.4482758620689655E-2</v>
      </c>
      <c r="G200" s="295">
        <f t="shared" si="223"/>
        <v>2.6970954356846474E-2</v>
      </c>
      <c r="H200" s="296">
        <f t="shared" ref="H200:I200" si="231">H188/H$196</f>
        <v>1.0733452593917709E-2</v>
      </c>
      <c r="I200" s="297">
        <f t="shared" si="231"/>
        <v>2.8257456828885402E-2</v>
      </c>
      <c r="J200" s="295">
        <f t="shared" si="225"/>
        <v>2.9556650246305417E-2</v>
      </c>
      <c r="K200" s="296">
        <f t="shared" si="226"/>
        <v>2.3102310231023101E-2</v>
      </c>
      <c r="L200" s="297">
        <f t="shared" si="226"/>
        <v>2.0332717190388171E-2</v>
      </c>
      <c r="M200" s="298">
        <f t="shared" ref="M200" si="232">M188/M$196</f>
        <v>2.9520295202952029E-2</v>
      </c>
      <c r="N200" s="188">
        <f t="shared" si="228"/>
        <v>2.708753078128498E-2</v>
      </c>
    </row>
    <row r="201" spans="1:14" x14ac:dyDescent="0.2">
      <c r="A201" s="103" t="s">
        <v>84</v>
      </c>
      <c r="B201" s="213"/>
      <c r="C201" s="211"/>
      <c r="D201" s="212"/>
      <c r="E201" s="296">
        <f t="shared" si="223"/>
        <v>2.4305555555555556E-2</v>
      </c>
      <c r="F201" s="297">
        <f t="shared" si="223"/>
        <v>2.9556650246305417E-2</v>
      </c>
      <c r="G201" s="295">
        <f t="shared" si="223"/>
        <v>1.0373443983402489E-2</v>
      </c>
      <c r="H201" s="296">
        <f t="shared" ref="H201:I201" si="233">H189/H$196</f>
        <v>1.7889087656529516E-2</v>
      </c>
      <c r="I201" s="297">
        <f t="shared" si="233"/>
        <v>2.9827315541601257E-2</v>
      </c>
      <c r="J201" s="295">
        <f t="shared" si="225"/>
        <v>1.6420361247947456E-2</v>
      </c>
      <c r="K201" s="296">
        <f t="shared" si="226"/>
        <v>2.1452145214521452E-2</v>
      </c>
      <c r="L201" s="297">
        <f t="shared" si="226"/>
        <v>1.6635859519408502E-2</v>
      </c>
      <c r="M201" s="298">
        <f t="shared" ref="M201" si="234">M189/M$196</f>
        <v>1.4760147601476014E-2</v>
      </c>
      <c r="N201" s="188">
        <f t="shared" si="228"/>
        <v>1.9476158495634655E-2</v>
      </c>
    </row>
    <row r="202" spans="1:14" x14ac:dyDescent="0.2">
      <c r="A202" s="103" t="s">
        <v>85</v>
      </c>
      <c r="B202" s="213"/>
      <c r="C202" s="211"/>
      <c r="D202" s="212"/>
      <c r="E202" s="296">
        <f t="shared" si="223"/>
        <v>4.1666666666666664E-2</v>
      </c>
      <c r="F202" s="297">
        <f t="shared" si="223"/>
        <v>3.9408866995073892E-2</v>
      </c>
      <c r="G202" s="295">
        <f t="shared" si="223"/>
        <v>4.5643153526970952E-2</v>
      </c>
      <c r="H202" s="296">
        <f t="shared" ref="H202:I202" si="235">H190/H$196</f>
        <v>3.3989266547406083E-2</v>
      </c>
      <c r="I202" s="297">
        <f t="shared" si="235"/>
        <v>5.8084772370486655E-2</v>
      </c>
      <c r="J202" s="295">
        <f t="shared" si="225"/>
        <v>4.4334975369458129E-2</v>
      </c>
      <c r="K202" s="296">
        <f t="shared" si="226"/>
        <v>4.2904290429042903E-2</v>
      </c>
      <c r="L202" s="297">
        <f t="shared" si="226"/>
        <v>3.8817005545286505E-2</v>
      </c>
      <c r="M202" s="298">
        <f t="shared" ref="M202" si="236">M190/M$196</f>
        <v>2.9520295202952029E-2</v>
      </c>
      <c r="N202" s="188">
        <f t="shared" si="228"/>
        <v>4.2086411461831209E-2</v>
      </c>
    </row>
    <row r="203" spans="1:14" x14ac:dyDescent="0.2">
      <c r="A203" s="103" t="s">
        <v>86</v>
      </c>
      <c r="B203" s="213"/>
      <c r="C203" s="211"/>
      <c r="D203" s="212"/>
      <c r="E203" s="296">
        <f t="shared" si="223"/>
        <v>2.7777777777777776E-2</v>
      </c>
      <c r="F203" s="297">
        <f t="shared" si="223"/>
        <v>6.8965517241379309E-2</v>
      </c>
      <c r="G203" s="295">
        <f t="shared" si="223"/>
        <v>2.9045643153526972E-2</v>
      </c>
      <c r="H203" s="296">
        <f t="shared" ref="H203:I203" si="237">H191/H$196</f>
        <v>2.8622540250447227E-2</v>
      </c>
      <c r="I203" s="297">
        <f t="shared" si="237"/>
        <v>3.7676609105180531E-2</v>
      </c>
      <c r="J203" s="295">
        <f t="shared" si="225"/>
        <v>2.2988505747126436E-2</v>
      </c>
      <c r="K203" s="296">
        <f t="shared" si="226"/>
        <v>2.1452145214521452E-2</v>
      </c>
      <c r="L203" s="297">
        <f t="shared" si="226"/>
        <v>2.2181146025878003E-2</v>
      </c>
      <c r="M203" s="298">
        <f t="shared" ref="M203" si="238">M191/M$196</f>
        <v>2.9520295202952029E-2</v>
      </c>
      <c r="N203" s="188">
        <f t="shared" si="228"/>
        <v>2.9326169688829191E-2</v>
      </c>
    </row>
    <row r="204" spans="1:14" x14ac:dyDescent="0.2">
      <c r="A204" s="103" t="s">
        <v>87</v>
      </c>
      <c r="B204" s="213"/>
      <c r="C204" s="211"/>
      <c r="D204" s="212"/>
      <c r="E204" s="296">
        <f t="shared" si="223"/>
        <v>1.7361111111111112E-2</v>
      </c>
      <c r="F204" s="297">
        <f t="shared" si="223"/>
        <v>2.4630541871921183E-2</v>
      </c>
      <c r="G204" s="295">
        <f t="shared" si="223"/>
        <v>3.5269709543568464E-2</v>
      </c>
      <c r="H204" s="296">
        <f t="shared" ref="H204:I204" si="239">H192/H$196</f>
        <v>2.1466905187835419E-2</v>
      </c>
      <c r="I204" s="297">
        <f t="shared" si="239"/>
        <v>2.197802197802198E-2</v>
      </c>
      <c r="J204" s="295">
        <f t="shared" si="225"/>
        <v>9.852216748768473E-3</v>
      </c>
      <c r="K204" s="296">
        <f t="shared" si="226"/>
        <v>1.9801980198019802E-2</v>
      </c>
      <c r="L204" s="297">
        <f t="shared" si="226"/>
        <v>2.7726432532347505E-2</v>
      </c>
      <c r="M204" s="298">
        <f t="shared" ref="M204" si="240">M192/M$196</f>
        <v>2.2140221402214021E-2</v>
      </c>
      <c r="N204" s="188">
        <f t="shared" si="228"/>
        <v>2.1938661293933289E-2</v>
      </c>
    </row>
    <row r="205" spans="1:14" x14ac:dyDescent="0.2">
      <c r="A205" s="103" t="s">
        <v>88</v>
      </c>
      <c r="B205" s="213"/>
      <c r="C205" s="211"/>
      <c r="D205" s="212"/>
      <c r="E205" s="296">
        <f t="shared" si="223"/>
        <v>4.1666666666666664E-2</v>
      </c>
      <c r="F205" s="297">
        <f t="shared" si="223"/>
        <v>4.9261083743842367E-2</v>
      </c>
      <c r="G205" s="295">
        <f t="shared" si="223"/>
        <v>4.1493775933609959E-3</v>
      </c>
      <c r="H205" s="296">
        <f t="shared" ref="H205:I205" si="241">H193/H$196</f>
        <v>1.6100178890876567E-2</v>
      </c>
      <c r="I205" s="297">
        <f t="shared" si="241"/>
        <v>9.4191522762951327E-3</v>
      </c>
      <c r="J205" s="295">
        <f t="shared" si="225"/>
        <v>1.1494252873563218E-2</v>
      </c>
      <c r="K205" s="296">
        <f t="shared" si="226"/>
        <v>1.3201320132013201E-2</v>
      </c>
      <c r="L205" s="297">
        <f t="shared" si="226"/>
        <v>7.3937153419593345E-3</v>
      </c>
      <c r="M205" s="298">
        <f t="shared" ref="M205" si="242">M193/M$196</f>
        <v>7.3800738007380072E-3</v>
      </c>
      <c r="N205" s="188">
        <f t="shared" si="228"/>
        <v>1.3879561226774121E-2</v>
      </c>
    </row>
    <row r="206" spans="1:14" x14ac:dyDescent="0.2">
      <c r="A206" s="103" t="s">
        <v>78</v>
      </c>
      <c r="B206" s="213"/>
      <c r="C206" s="211"/>
      <c r="D206" s="212"/>
      <c r="E206" s="296">
        <f t="shared" si="223"/>
        <v>3.472222222222222E-3</v>
      </c>
      <c r="F206" s="297">
        <f t="shared" si="223"/>
        <v>4.9261083743842365E-3</v>
      </c>
      <c r="G206" s="295">
        <f t="shared" si="223"/>
        <v>4.1493775933609959E-3</v>
      </c>
      <c r="H206" s="296">
        <f t="shared" ref="H206:I206" si="243">H194/H$196</f>
        <v>1.7889087656529517E-3</v>
      </c>
      <c r="I206" s="297">
        <f t="shared" si="243"/>
        <v>0</v>
      </c>
      <c r="J206" s="295">
        <f t="shared" si="225"/>
        <v>3.2840722495894909E-3</v>
      </c>
      <c r="K206" s="296">
        <f t="shared" si="226"/>
        <v>3.3003300330033004E-3</v>
      </c>
      <c r="L206" s="297">
        <f t="shared" si="226"/>
        <v>5.5452865064695009E-3</v>
      </c>
      <c r="M206" s="298">
        <f t="shared" ref="M206" si="244">M194/M$196</f>
        <v>1.8450184501845018E-3</v>
      </c>
      <c r="N206" s="188">
        <f t="shared" si="228"/>
        <v>2.910230579807477E-3</v>
      </c>
    </row>
    <row r="207" spans="1:14" ht="16" thickBot="1" x14ac:dyDescent="0.25">
      <c r="A207" s="107" t="s">
        <v>89</v>
      </c>
      <c r="B207" s="177"/>
      <c r="C207" s="175"/>
      <c r="D207" s="176"/>
      <c r="E207" s="300">
        <f t="shared" si="223"/>
        <v>4.5138888888888888E-2</v>
      </c>
      <c r="F207" s="301">
        <f t="shared" si="223"/>
        <v>2.4630541871921183E-2</v>
      </c>
      <c r="G207" s="299">
        <f t="shared" si="223"/>
        <v>6.2240663900414933E-3</v>
      </c>
      <c r="H207" s="300">
        <f t="shared" ref="H207:I207" si="245">H195/H$196</f>
        <v>1.4311270125223614E-2</v>
      </c>
      <c r="I207" s="301">
        <f t="shared" si="245"/>
        <v>1.2558869701726845E-2</v>
      </c>
      <c r="J207" s="299">
        <f t="shared" si="225"/>
        <v>9.852216748768473E-3</v>
      </c>
      <c r="K207" s="300">
        <f t="shared" si="226"/>
        <v>1.8151815181518153E-2</v>
      </c>
      <c r="L207" s="301">
        <f t="shared" si="226"/>
        <v>5.5452865064695009E-3</v>
      </c>
      <c r="M207" s="302">
        <f t="shared" ref="M207" si="246">M195/M$196</f>
        <v>2.7675276752767528E-2</v>
      </c>
      <c r="N207" s="189">
        <f t="shared" si="228"/>
        <v>1.6118200134318333E-2</v>
      </c>
    </row>
    <row r="208" spans="1:14" ht="16" thickBot="1" x14ac:dyDescent="0.25">
      <c r="A208" s="44"/>
      <c r="B208" s="163"/>
      <c r="C208" s="164"/>
      <c r="D208" s="165"/>
      <c r="E208" s="163"/>
      <c r="F208" s="164"/>
      <c r="G208" s="165"/>
      <c r="H208" s="163"/>
      <c r="I208" s="164"/>
      <c r="J208" s="165"/>
      <c r="K208" s="163"/>
      <c r="L208" s="164"/>
      <c r="M208" s="180"/>
      <c r="N208" s="168"/>
    </row>
    <row r="209" spans="1:14" ht="16" thickBot="1" x14ac:dyDescent="0.25">
      <c r="A209" s="99" t="s">
        <v>90</v>
      </c>
      <c r="B209" s="120">
        <v>45292</v>
      </c>
      <c r="C209" s="121">
        <v>45323</v>
      </c>
      <c r="D209" s="122">
        <v>45352</v>
      </c>
      <c r="E209" s="120">
        <v>45383</v>
      </c>
      <c r="F209" s="121">
        <v>45413</v>
      </c>
      <c r="G209" s="122">
        <v>45444</v>
      </c>
      <c r="H209" s="120">
        <v>45474</v>
      </c>
      <c r="I209" s="121">
        <v>45505</v>
      </c>
      <c r="J209" s="122">
        <v>45536</v>
      </c>
      <c r="K209" s="120">
        <v>45566</v>
      </c>
      <c r="L209" s="121">
        <v>45597</v>
      </c>
      <c r="M209" s="123">
        <v>45627</v>
      </c>
      <c r="N209" s="406" t="s">
        <v>7</v>
      </c>
    </row>
    <row r="210" spans="1:14" x14ac:dyDescent="0.2">
      <c r="A210" s="105" t="s">
        <v>72</v>
      </c>
      <c r="B210" s="141"/>
      <c r="C210" s="142"/>
      <c r="D210" s="143"/>
      <c r="E210" s="141"/>
      <c r="F210" s="142"/>
      <c r="G210" s="143"/>
      <c r="H210" s="141"/>
      <c r="I210" s="142"/>
      <c r="J210" s="143"/>
      <c r="K210" s="141">
        <v>11</v>
      </c>
      <c r="L210" s="142">
        <v>13</v>
      </c>
      <c r="M210" s="169">
        <v>15</v>
      </c>
      <c r="N210" s="397">
        <f>SUM(K210:M210)</f>
        <v>39</v>
      </c>
    </row>
    <row r="211" spans="1:14" ht="16" thickBot="1" x14ac:dyDescent="0.25">
      <c r="A211" s="107" t="s">
        <v>71</v>
      </c>
      <c r="B211" s="155"/>
      <c r="C211" s="156"/>
      <c r="D211" s="157"/>
      <c r="E211" s="155"/>
      <c r="F211" s="156"/>
      <c r="G211" s="157"/>
      <c r="H211" s="155"/>
      <c r="I211" s="156"/>
      <c r="J211" s="157"/>
      <c r="K211" s="155">
        <v>408</v>
      </c>
      <c r="L211" s="156">
        <v>528</v>
      </c>
      <c r="M211" s="207">
        <v>527</v>
      </c>
      <c r="N211" s="308">
        <f>SUM(K211:M211)</f>
        <v>1463</v>
      </c>
    </row>
  </sheetData>
  <mergeCells count="5">
    <mergeCell ref="B2:D2"/>
    <mergeCell ref="E2:G2"/>
    <mergeCell ref="H2:J2"/>
    <mergeCell ref="K2:M2"/>
    <mergeCell ref="B1:N1"/>
  </mergeCells>
  <pageMargins left="0.25" right="0.25" top="0.75" bottom="0.75" header="0.3" footer="0.3"/>
  <pageSetup scale="61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BCA88-5E7C-4C56-A4BC-AB78756FE046}">
  <sheetPr>
    <pageSetUpPr fitToPage="1"/>
  </sheetPr>
  <dimension ref="A1:P170"/>
  <sheetViews>
    <sheetView workbookViewId="0">
      <selection activeCell="O186" sqref="O186"/>
    </sheetView>
  </sheetViews>
  <sheetFormatPr baseColWidth="10" defaultColWidth="8.83203125" defaultRowHeight="15" x14ac:dyDescent="0.2"/>
  <cols>
    <col min="1" max="1" width="38.33203125" bestFit="1" customWidth="1"/>
    <col min="2" max="2" width="6.83203125" bestFit="1" customWidth="1"/>
    <col min="3" max="3" width="7.1640625" bestFit="1" customWidth="1"/>
    <col min="4" max="4" width="7.6640625" bestFit="1" customWidth="1"/>
    <col min="5" max="5" width="7.1640625" bestFit="1" customWidth="1"/>
    <col min="6" max="6" width="7.83203125" bestFit="1" customWidth="1"/>
    <col min="7" max="7" width="7" bestFit="1" customWidth="1"/>
    <col min="8" max="8" width="6.33203125" bestFit="1" customWidth="1"/>
    <col min="9" max="9" width="7.5" bestFit="1" customWidth="1"/>
    <col min="10" max="10" width="7.1640625" bestFit="1" customWidth="1"/>
    <col min="11" max="11" width="7" bestFit="1" customWidth="1"/>
    <col min="12" max="12" width="7.5" bestFit="1" customWidth="1"/>
    <col min="13" max="13" width="7.33203125" bestFit="1" customWidth="1"/>
    <col min="14" max="14" width="6.1640625" bestFit="1" customWidth="1"/>
  </cols>
  <sheetData>
    <row r="1" spans="1:16" ht="15.75" customHeight="1" x14ac:dyDescent="0.2">
      <c r="A1" s="100" t="s">
        <v>0</v>
      </c>
      <c r="B1" s="419">
        <v>2023</v>
      </c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1"/>
    </row>
    <row r="2" spans="1:16" x14ac:dyDescent="0.2">
      <c r="A2" s="95" t="s">
        <v>1</v>
      </c>
      <c r="B2" s="416" t="s">
        <v>2</v>
      </c>
      <c r="C2" s="417"/>
      <c r="D2" s="418"/>
      <c r="E2" s="416" t="s">
        <v>3</v>
      </c>
      <c r="F2" s="417"/>
      <c r="G2" s="418"/>
      <c r="H2" s="416" t="s">
        <v>4</v>
      </c>
      <c r="I2" s="417"/>
      <c r="J2" s="418"/>
      <c r="K2" s="416" t="s">
        <v>5</v>
      </c>
      <c r="L2" s="417"/>
      <c r="M2" s="418"/>
      <c r="N2" s="396"/>
    </row>
    <row r="3" spans="1:16" x14ac:dyDescent="0.2">
      <c r="A3" s="99" t="s">
        <v>6</v>
      </c>
      <c r="B3" s="216">
        <v>44927</v>
      </c>
      <c r="C3" s="217">
        <v>44958</v>
      </c>
      <c r="D3" s="218">
        <v>44986</v>
      </c>
      <c r="E3" s="216">
        <v>45017</v>
      </c>
      <c r="F3" s="217">
        <v>45047</v>
      </c>
      <c r="G3" s="218">
        <v>45078</v>
      </c>
      <c r="H3" s="216">
        <v>45108</v>
      </c>
      <c r="I3" s="217">
        <v>45139</v>
      </c>
      <c r="J3" s="218">
        <v>45170</v>
      </c>
      <c r="K3" s="216">
        <v>45200</v>
      </c>
      <c r="L3" s="217">
        <v>45231</v>
      </c>
      <c r="M3" s="219">
        <v>45261</v>
      </c>
      <c r="N3" s="185"/>
    </row>
    <row r="4" spans="1:16" ht="16" thickBot="1" x14ac:dyDescent="0.25">
      <c r="A4" s="96"/>
      <c r="B4" s="220"/>
      <c r="C4" s="221"/>
      <c r="D4" s="222"/>
      <c r="E4" s="220"/>
      <c r="F4" s="221"/>
      <c r="G4" s="222"/>
      <c r="H4" s="220"/>
      <c r="I4" s="221"/>
      <c r="J4" s="222"/>
      <c r="K4" s="220"/>
      <c r="L4" s="221"/>
      <c r="M4" s="223"/>
      <c r="N4" s="119"/>
    </row>
    <row r="5" spans="1:16" ht="16" thickBot="1" x14ac:dyDescent="0.25">
      <c r="A5" s="104" t="s">
        <v>9</v>
      </c>
      <c r="B5" s="120">
        <v>44927</v>
      </c>
      <c r="C5" s="121">
        <v>44958</v>
      </c>
      <c r="D5" s="122">
        <v>44986</v>
      </c>
      <c r="E5" s="120">
        <v>45017</v>
      </c>
      <c r="F5" s="121">
        <v>45047</v>
      </c>
      <c r="G5" s="122">
        <v>45078</v>
      </c>
      <c r="H5" s="120">
        <v>45108</v>
      </c>
      <c r="I5" s="121">
        <v>45139</v>
      </c>
      <c r="J5" s="122">
        <v>45170</v>
      </c>
      <c r="K5" s="120">
        <v>45200</v>
      </c>
      <c r="L5" s="121">
        <v>45231</v>
      </c>
      <c r="M5" s="123">
        <v>45261</v>
      </c>
      <c r="N5" s="406" t="s">
        <v>24</v>
      </c>
    </row>
    <row r="6" spans="1:16" x14ac:dyDescent="0.2">
      <c r="A6" s="105" t="s">
        <v>10</v>
      </c>
      <c r="B6" s="224">
        <v>31</v>
      </c>
      <c r="C6" s="127">
        <v>28</v>
      </c>
      <c r="D6" s="225">
        <v>31</v>
      </c>
      <c r="E6" s="224">
        <v>30</v>
      </c>
      <c r="F6" s="127">
        <v>30</v>
      </c>
      <c r="G6" s="225">
        <v>29</v>
      </c>
      <c r="H6" s="224">
        <v>29</v>
      </c>
      <c r="I6" s="127">
        <v>30</v>
      </c>
      <c r="J6" s="225">
        <v>28</v>
      </c>
      <c r="K6" s="224">
        <v>22</v>
      </c>
      <c r="L6" s="127">
        <v>29</v>
      </c>
      <c r="M6" s="128">
        <v>24</v>
      </c>
      <c r="N6" s="226">
        <f>SUM(B6:M6)</f>
        <v>341</v>
      </c>
      <c r="O6" s="3"/>
    </row>
    <row r="7" spans="1:16" ht="16" thickBot="1" x14ac:dyDescent="0.25">
      <c r="A7" s="106" t="s">
        <v>11</v>
      </c>
      <c r="B7" s="129">
        <v>111</v>
      </c>
      <c r="C7" s="130">
        <v>182</v>
      </c>
      <c r="D7" s="131">
        <v>232</v>
      </c>
      <c r="E7" s="129">
        <v>191</v>
      </c>
      <c r="F7" s="130">
        <v>305</v>
      </c>
      <c r="G7" s="131">
        <v>254</v>
      </c>
      <c r="H7" s="129">
        <v>219</v>
      </c>
      <c r="I7" s="130">
        <v>244</v>
      </c>
      <c r="J7" s="131">
        <v>170</v>
      </c>
      <c r="K7" s="129">
        <v>180</v>
      </c>
      <c r="L7" s="130">
        <v>152</v>
      </c>
      <c r="M7" s="132">
        <v>109</v>
      </c>
      <c r="N7" s="227">
        <f t="shared" ref="N7:N8" si="0">SUM(B7:M7)</f>
        <v>2349</v>
      </c>
      <c r="O7" s="3"/>
    </row>
    <row r="8" spans="1:16" ht="16" thickBot="1" x14ac:dyDescent="0.25">
      <c r="A8" s="99" t="s">
        <v>12</v>
      </c>
      <c r="B8" s="139">
        <v>1285</v>
      </c>
      <c r="C8" s="137">
        <v>1351</v>
      </c>
      <c r="D8" s="138">
        <v>1389</v>
      </c>
      <c r="E8" s="139">
        <v>914</v>
      </c>
      <c r="F8" s="137">
        <v>814</v>
      </c>
      <c r="G8" s="138">
        <v>670</v>
      </c>
      <c r="H8" s="139">
        <v>456</v>
      </c>
      <c r="I8" s="137">
        <v>459</v>
      </c>
      <c r="J8" s="138">
        <v>367</v>
      </c>
      <c r="K8" s="139">
        <v>343</v>
      </c>
      <c r="L8" s="137">
        <v>412</v>
      </c>
      <c r="M8" s="140">
        <v>302</v>
      </c>
      <c r="N8" s="228">
        <f t="shared" si="0"/>
        <v>8762</v>
      </c>
    </row>
    <row r="9" spans="1:16" x14ac:dyDescent="0.2">
      <c r="A9" s="105" t="s">
        <v>91</v>
      </c>
      <c r="B9" s="229"/>
      <c r="C9" s="144"/>
      <c r="D9" s="230"/>
      <c r="E9" s="229"/>
      <c r="F9" s="144"/>
      <c r="G9" s="230"/>
      <c r="H9" s="229"/>
      <c r="I9" s="144"/>
      <c r="J9" s="230"/>
      <c r="K9" s="229"/>
      <c r="L9" s="144"/>
      <c r="M9" s="145"/>
      <c r="N9" s="397"/>
    </row>
    <row r="10" spans="1:16" x14ac:dyDescent="0.2">
      <c r="A10" s="103" t="s">
        <v>15</v>
      </c>
      <c r="B10" s="150">
        <f t="shared" ref="B10:M10" si="1">B7/B6</f>
        <v>3.5806451612903225</v>
      </c>
      <c r="C10" s="148">
        <f t="shared" si="1"/>
        <v>6.5</v>
      </c>
      <c r="D10" s="149">
        <f t="shared" si="1"/>
        <v>7.4838709677419351</v>
      </c>
      <c r="E10" s="150">
        <f t="shared" si="1"/>
        <v>6.3666666666666663</v>
      </c>
      <c r="F10" s="148">
        <f t="shared" si="1"/>
        <v>10.166666666666666</v>
      </c>
      <c r="G10" s="149">
        <f t="shared" si="1"/>
        <v>8.7586206896551726</v>
      </c>
      <c r="H10" s="150">
        <f t="shared" si="1"/>
        <v>7.5517241379310347</v>
      </c>
      <c r="I10" s="148">
        <f t="shared" si="1"/>
        <v>8.1333333333333329</v>
      </c>
      <c r="J10" s="149">
        <f t="shared" si="1"/>
        <v>6.0714285714285712</v>
      </c>
      <c r="K10" s="150">
        <f t="shared" si="1"/>
        <v>8.1818181818181817</v>
      </c>
      <c r="L10" s="148">
        <f t="shared" si="1"/>
        <v>5.2413793103448274</v>
      </c>
      <c r="M10" s="151">
        <f t="shared" si="1"/>
        <v>4.541666666666667</v>
      </c>
      <c r="N10" s="231">
        <f>SUM(B10:M10)/12</f>
        <v>6.881485029461949</v>
      </c>
    </row>
    <row r="11" spans="1:16" x14ac:dyDescent="0.2">
      <c r="A11" s="103" t="s">
        <v>16</v>
      </c>
      <c r="B11" s="150">
        <v>3</v>
      </c>
      <c r="C11" s="148">
        <v>3.1070000000000002</v>
      </c>
      <c r="D11" s="149">
        <v>3.3548</v>
      </c>
      <c r="E11" s="150">
        <v>2.7667000000000002</v>
      </c>
      <c r="F11" s="148">
        <v>2.3220000000000001</v>
      </c>
      <c r="G11" s="149">
        <v>2.3660000000000001</v>
      </c>
      <c r="H11" s="150">
        <v>1.806</v>
      </c>
      <c r="I11" s="148">
        <v>2.0299999999999998</v>
      </c>
      <c r="J11" s="149">
        <v>1.9</v>
      </c>
      <c r="K11" s="150">
        <v>1.4510000000000001</v>
      </c>
      <c r="L11" s="148">
        <v>2.3332999999999999</v>
      </c>
      <c r="M11" s="151">
        <v>1.645</v>
      </c>
      <c r="N11" s="231">
        <f>SUM(B11:M11)/12</f>
        <v>2.34015</v>
      </c>
      <c r="P11" s="2"/>
    </row>
    <row r="12" spans="1:16" x14ac:dyDescent="0.2">
      <c r="A12" s="103" t="s">
        <v>17</v>
      </c>
      <c r="B12" s="213"/>
      <c r="C12" s="211"/>
      <c r="D12" s="212"/>
      <c r="E12" s="213"/>
      <c r="F12" s="211"/>
      <c r="G12" s="212"/>
      <c r="H12" s="213"/>
      <c r="I12" s="211"/>
      <c r="J12" s="212"/>
      <c r="K12" s="213"/>
      <c r="L12" s="211"/>
      <c r="M12" s="232"/>
      <c r="N12" s="114"/>
      <c r="P12" s="4"/>
    </row>
    <row r="13" spans="1:16" ht="16" thickBot="1" x14ac:dyDescent="0.25">
      <c r="A13" s="107" t="s">
        <v>18</v>
      </c>
      <c r="B13" s="233">
        <f t="shared" ref="B13:M13" si="2">B7/B8</f>
        <v>8.6381322957198442E-2</v>
      </c>
      <c r="C13" s="234">
        <f t="shared" si="2"/>
        <v>0.13471502590673576</v>
      </c>
      <c r="D13" s="235">
        <f t="shared" si="2"/>
        <v>0.16702663786897048</v>
      </c>
      <c r="E13" s="233">
        <f t="shared" si="2"/>
        <v>0.20897155361050329</v>
      </c>
      <c r="F13" s="234">
        <f t="shared" si="2"/>
        <v>0.37469287469287471</v>
      </c>
      <c r="G13" s="235">
        <f t="shared" si="2"/>
        <v>0.37910447761194027</v>
      </c>
      <c r="H13" s="233">
        <f t="shared" si="2"/>
        <v>0.48026315789473684</v>
      </c>
      <c r="I13" s="234">
        <f t="shared" si="2"/>
        <v>0.53159041394335516</v>
      </c>
      <c r="J13" s="235">
        <f t="shared" si="2"/>
        <v>0.46321525885558584</v>
      </c>
      <c r="K13" s="233">
        <f t="shared" si="2"/>
        <v>0.52478134110787167</v>
      </c>
      <c r="L13" s="234">
        <f t="shared" si="2"/>
        <v>0.36893203883495146</v>
      </c>
      <c r="M13" s="236">
        <f t="shared" si="2"/>
        <v>0.36092715231788081</v>
      </c>
      <c r="N13" s="189">
        <f>N7/N8</f>
        <v>0.26808947728829036</v>
      </c>
    </row>
    <row r="14" spans="1:16" ht="16" thickBot="1" x14ac:dyDescent="0.25">
      <c r="A14" s="96"/>
      <c r="B14" s="237"/>
      <c r="C14" s="238"/>
      <c r="D14" s="238"/>
      <c r="E14" s="237"/>
      <c r="F14" s="238"/>
      <c r="G14" s="238"/>
      <c r="H14" s="237"/>
      <c r="I14" s="238"/>
      <c r="J14" s="238"/>
      <c r="K14" s="237"/>
      <c r="L14" s="238"/>
      <c r="M14" s="239"/>
      <c r="N14" s="168"/>
    </row>
    <row r="15" spans="1:16" ht="16" thickBot="1" x14ac:dyDescent="0.25">
      <c r="A15" s="99" t="s">
        <v>19</v>
      </c>
      <c r="B15" s="120">
        <v>44927</v>
      </c>
      <c r="C15" s="121">
        <v>44958</v>
      </c>
      <c r="D15" s="122">
        <v>44986</v>
      </c>
      <c r="E15" s="120">
        <v>45017</v>
      </c>
      <c r="F15" s="121">
        <v>45047</v>
      </c>
      <c r="G15" s="122">
        <v>45078</v>
      </c>
      <c r="H15" s="120">
        <v>45108</v>
      </c>
      <c r="I15" s="121">
        <v>45139</v>
      </c>
      <c r="J15" s="122">
        <v>45170</v>
      </c>
      <c r="K15" s="120">
        <v>45200</v>
      </c>
      <c r="L15" s="121">
        <v>45231</v>
      </c>
      <c r="M15" s="123">
        <v>45261</v>
      </c>
      <c r="N15" s="406" t="s">
        <v>93</v>
      </c>
    </row>
    <row r="16" spans="1:16" x14ac:dyDescent="0.2">
      <c r="A16" s="105" t="s">
        <v>20</v>
      </c>
      <c r="B16" s="141">
        <v>1017</v>
      </c>
      <c r="C16" s="142">
        <v>981</v>
      </c>
      <c r="D16" s="143">
        <v>1037</v>
      </c>
      <c r="E16" s="141">
        <v>680</v>
      </c>
      <c r="F16" s="142">
        <v>522</v>
      </c>
      <c r="G16" s="143">
        <v>419</v>
      </c>
      <c r="H16" s="141">
        <v>214</v>
      </c>
      <c r="I16" s="142">
        <v>198</v>
      </c>
      <c r="J16" s="143">
        <v>193</v>
      </c>
      <c r="K16" s="141">
        <v>162</v>
      </c>
      <c r="L16" s="142">
        <v>259</v>
      </c>
      <c r="M16" s="169">
        <v>192</v>
      </c>
      <c r="N16" s="397">
        <f>SUM(B16:M16)</f>
        <v>5874</v>
      </c>
      <c r="O16" s="3"/>
    </row>
    <row r="17" spans="1:15" x14ac:dyDescent="0.2">
      <c r="A17" s="103" t="s">
        <v>21</v>
      </c>
      <c r="B17" s="146">
        <v>31</v>
      </c>
      <c r="C17" s="109">
        <v>56</v>
      </c>
      <c r="D17" s="147">
        <v>104</v>
      </c>
      <c r="E17" s="146">
        <v>80</v>
      </c>
      <c r="F17" s="109">
        <v>143</v>
      </c>
      <c r="G17" s="147">
        <v>136</v>
      </c>
      <c r="H17" s="146">
        <v>147</v>
      </c>
      <c r="I17" s="109">
        <v>118</v>
      </c>
      <c r="J17" s="147">
        <v>79</v>
      </c>
      <c r="K17" s="146">
        <v>82</v>
      </c>
      <c r="L17" s="109">
        <v>79</v>
      </c>
      <c r="M17" s="154">
        <v>31</v>
      </c>
      <c r="N17" s="153">
        <f t="shared" ref="N17:N21" si="3">SUM(B17:M17)</f>
        <v>1086</v>
      </c>
      <c r="O17" s="3"/>
    </row>
    <row r="18" spans="1:15" x14ac:dyDescent="0.2">
      <c r="A18" s="103" t="s">
        <v>94</v>
      </c>
      <c r="B18" s="146"/>
      <c r="C18" s="109">
        <v>1</v>
      </c>
      <c r="D18" s="147">
        <v>8</v>
      </c>
      <c r="E18" s="146">
        <v>2</v>
      </c>
      <c r="F18" s="109">
        <v>19</v>
      </c>
      <c r="G18" s="147">
        <v>2</v>
      </c>
      <c r="H18" s="146">
        <v>3</v>
      </c>
      <c r="I18" s="109">
        <v>9</v>
      </c>
      <c r="J18" s="147">
        <v>8</v>
      </c>
      <c r="K18" s="146">
        <v>3</v>
      </c>
      <c r="L18" s="109">
        <v>3</v>
      </c>
      <c r="M18" s="154">
        <v>2</v>
      </c>
      <c r="N18" s="153">
        <f t="shared" si="3"/>
        <v>60</v>
      </c>
      <c r="O18" s="3"/>
    </row>
    <row r="19" spans="1:15" x14ac:dyDescent="0.2">
      <c r="A19" s="103" t="s">
        <v>23</v>
      </c>
      <c r="B19" s="146">
        <v>62</v>
      </c>
      <c r="C19" s="109">
        <v>57</v>
      </c>
      <c r="D19" s="147">
        <v>65</v>
      </c>
      <c r="E19" s="146">
        <v>59</v>
      </c>
      <c r="F19" s="109">
        <v>108</v>
      </c>
      <c r="G19" s="147">
        <v>80</v>
      </c>
      <c r="H19" s="146">
        <v>73</v>
      </c>
      <c r="I19" s="109">
        <v>93</v>
      </c>
      <c r="J19" s="147">
        <v>75</v>
      </c>
      <c r="K19" s="146">
        <v>79</v>
      </c>
      <c r="L19" s="109">
        <v>86</v>
      </c>
      <c r="M19" s="154">
        <v>70</v>
      </c>
      <c r="N19" s="153">
        <f t="shared" si="3"/>
        <v>907</v>
      </c>
      <c r="O19" s="3"/>
    </row>
    <row r="20" spans="1:15" ht="16" thickBot="1" x14ac:dyDescent="0.25">
      <c r="A20" s="106" t="s">
        <v>95</v>
      </c>
      <c r="B20" s="129"/>
      <c r="C20" s="130"/>
      <c r="D20" s="131"/>
      <c r="E20" s="129"/>
      <c r="F20" s="130"/>
      <c r="G20" s="131"/>
      <c r="H20" s="129"/>
      <c r="I20" s="130"/>
      <c r="J20" s="131"/>
      <c r="K20" s="129"/>
      <c r="L20" s="130"/>
      <c r="M20" s="132"/>
      <c r="N20" s="133"/>
    </row>
    <row r="21" spans="1:15" ht="16" thickBot="1" x14ac:dyDescent="0.25">
      <c r="A21" s="99" t="s">
        <v>24</v>
      </c>
      <c r="B21" s="139">
        <f t="shared" ref="B21:M21" si="4">SUM(B16:B19)</f>
        <v>1110</v>
      </c>
      <c r="C21" s="137">
        <f t="shared" si="4"/>
        <v>1095</v>
      </c>
      <c r="D21" s="138">
        <f t="shared" si="4"/>
        <v>1214</v>
      </c>
      <c r="E21" s="139">
        <f t="shared" si="4"/>
        <v>821</v>
      </c>
      <c r="F21" s="137">
        <f t="shared" si="4"/>
        <v>792</v>
      </c>
      <c r="G21" s="138">
        <f t="shared" si="4"/>
        <v>637</v>
      </c>
      <c r="H21" s="139">
        <f t="shared" si="4"/>
        <v>437</v>
      </c>
      <c r="I21" s="137">
        <f t="shared" si="4"/>
        <v>418</v>
      </c>
      <c r="J21" s="138">
        <f t="shared" si="4"/>
        <v>355</v>
      </c>
      <c r="K21" s="139">
        <f t="shared" si="4"/>
        <v>326</v>
      </c>
      <c r="L21" s="137">
        <f t="shared" si="4"/>
        <v>427</v>
      </c>
      <c r="M21" s="140">
        <f t="shared" si="4"/>
        <v>295</v>
      </c>
      <c r="N21" s="406">
        <f t="shared" si="3"/>
        <v>7927</v>
      </c>
    </row>
    <row r="22" spans="1:15" x14ac:dyDescent="0.2">
      <c r="A22" s="105" t="s">
        <v>17</v>
      </c>
      <c r="B22" s="181"/>
      <c r="C22" s="182"/>
      <c r="D22" s="183"/>
      <c r="E22" s="181"/>
      <c r="F22" s="182"/>
      <c r="G22" s="183"/>
      <c r="H22" s="181"/>
      <c r="I22" s="182"/>
      <c r="J22" s="183"/>
      <c r="K22" s="181"/>
      <c r="L22" s="182"/>
      <c r="M22" s="184"/>
      <c r="N22" s="397"/>
    </row>
    <row r="23" spans="1:15" x14ac:dyDescent="0.2">
      <c r="A23" s="103" t="s">
        <v>20</v>
      </c>
      <c r="B23" s="172">
        <f t="shared" ref="B23:M23" si="5">B16/B21</f>
        <v>0.91621621621621618</v>
      </c>
      <c r="C23" s="170">
        <f t="shared" si="5"/>
        <v>0.89589041095890409</v>
      </c>
      <c r="D23" s="171">
        <f t="shared" si="5"/>
        <v>0.85420098846787484</v>
      </c>
      <c r="E23" s="172">
        <f t="shared" si="5"/>
        <v>0.82825822168087693</v>
      </c>
      <c r="F23" s="170">
        <f t="shared" si="5"/>
        <v>0.65909090909090906</v>
      </c>
      <c r="G23" s="171">
        <f t="shared" si="5"/>
        <v>0.65777080062794346</v>
      </c>
      <c r="H23" s="172">
        <f t="shared" si="5"/>
        <v>0.48970251716247137</v>
      </c>
      <c r="I23" s="170">
        <f t="shared" si="5"/>
        <v>0.47368421052631576</v>
      </c>
      <c r="J23" s="171">
        <f t="shared" si="5"/>
        <v>0.54366197183098597</v>
      </c>
      <c r="K23" s="172">
        <f t="shared" si="5"/>
        <v>0.49693251533742333</v>
      </c>
      <c r="L23" s="170">
        <f t="shared" si="5"/>
        <v>0.60655737704918034</v>
      </c>
      <c r="M23" s="173">
        <f t="shared" si="5"/>
        <v>0.6508474576271186</v>
      </c>
      <c r="N23" s="188">
        <f>N16/N$21</f>
        <v>0.74101173205500193</v>
      </c>
    </row>
    <row r="24" spans="1:15" x14ac:dyDescent="0.2">
      <c r="A24" s="103" t="s">
        <v>21</v>
      </c>
      <c r="B24" s="172">
        <f t="shared" ref="B24:M24" si="6">B17/B21</f>
        <v>2.7927927927927927E-2</v>
      </c>
      <c r="C24" s="170">
        <f t="shared" si="6"/>
        <v>5.1141552511415528E-2</v>
      </c>
      <c r="D24" s="171">
        <f t="shared" si="6"/>
        <v>8.5667215815486003E-2</v>
      </c>
      <c r="E24" s="172">
        <f t="shared" si="6"/>
        <v>9.7442143727161992E-2</v>
      </c>
      <c r="F24" s="170">
        <f t="shared" si="6"/>
        <v>0.18055555555555555</v>
      </c>
      <c r="G24" s="171">
        <f t="shared" si="6"/>
        <v>0.21350078492935637</v>
      </c>
      <c r="H24" s="172">
        <f t="shared" si="6"/>
        <v>0.33638443935926776</v>
      </c>
      <c r="I24" s="170">
        <f t="shared" si="6"/>
        <v>0.28229665071770332</v>
      </c>
      <c r="J24" s="171">
        <f t="shared" si="6"/>
        <v>0.22253521126760564</v>
      </c>
      <c r="K24" s="172">
        <f t="shared" si="6"/>
        <v>0.25153374233128833</v>
      </c>
      <c r="L24" s="170">
        <f t="shared" si="6"/>
        <v>0.18501170960187355</v>
      </c>
      <c r="M24" s="173">
        <f t="shared" si="6"/>
        <v>0.10508474576271186</v>
      </c>
      <c r="N24" s="188">
        <f>N17/N$21</f>
        <v>0.13700012615112905</v>
      </c>
    </row>
    <row r="25" spans="1:15" x14ac:dyDescent="0.2">
      <c r="A25" s="103" t="s">
        <v>94</v>
      </c>
      <c r="B25" s="172">
        <f t="shared" ref="B25:M25" si="7">B18/B21</f>
        <v>0</v>
      </c>
      <c r="C25" s="170">
        <f t="shared" si="7"/>
        <v>9.1324200913242006E-4</v>
      </c>
      <c r="D25" s="171">
        <f t="shared" si="7"/>
        <v>6.5897858319604614E-3</v>
      </c>
      <c r="E25" s="172">
        <f t="shared" si="7"/>
        <v>2.4360535931790498E-3</v>
      </c>
      <c r="F25" s="170">
        <f t="shared" si="7"/>
        <v>2.3989898989898988E-2</v>
      </c>
      <c r="G25" s="171">
        <f t="shared" si="7"/>
        <v>3.1397174254317113E-3</v>
      </c>
      <c r="H25" s="172">
        <f t="shared" si="7"/>
        <v>6.8649885583524023E-3</v>
      </c>
      <c r="I25" s="170">
        <f t="shared" si="7"/>
        <v>2.1531100478468901E-2</v>
      </c>
      <c r="J25" s="171">
        <f t="shared" si="7"/>
        <v>2.2535211267605635E-2</v>
      </c>
      <c r="K25" s="172">
        <f t="shared" si="7"/>
        <v>9.202453987730062E-3</v>
      </c>
      <c r="L25" s="170">
        <f t="shared" si="7"/>
        <v>7.0257611241217799E-3</v>
      </c>
      <c r="M25" s="173">
        <f t="shared" si="7"/>
        <v>6.7796610169491523E-3</v>
      </c>
      <c r="N25" s="188">
        <f>N18/N$21</f>
        <v>7.5690677431563009E-3</v>
      </c>
    </row>
    <row r="26" spans="1:15" x14ac:dyDescent="0.2">
      <c r="A26" s="103" t="s">
        <v>23</v>
      </c>
      <c r="B26" s="172">
        <f t="shared" ref="B26:M26" si="8">B19/B21</f>
        <v>5.5855855855855854E-2</v>
      </c>
      <c r="C26" s="170">
        <f t="shared" si="8"/>
        <v>5.2054794520547946E-2</v>
      </c>
      <c r="D26" s="171">
        <f t="shared" si="8"/>
        <v>5.3542009884678748E-2</v>
      </c>
      <c r="E26" s="172">
        <f t="shared" si="8"/>
        <v>7.186358099878197E-2</v>
      </c>
      <c r="F26" s="170">
        <f t="shared" si="8"/>
        <v>0.13636363636363635</v>
      </c>
      <c r="G26" s="171">
        <f t="shared" si="8"/>
        <v>0.12558869701726844</v>
      </c>
      <c r="H26" s="172">
        <f t="shared" si="8"/>
        <v>0.16704805491990846</v>
      </c>
      <c r="I26" s="170">
        <f t="shared" si="8"/>
        <v>0.22248803827751196</v>
      </c>
      <c r="J26" s="171">
        <f t="shared" si="8"/>
        <v>0.21126760563380281</v>
      </c>
      <c r="K26" s="172">
        <f t="shared" si="8"/>
        <v>0.24233128834355827</v>
      </c>
      <c r="L26" s="170">
        <f t="shared" si="8"/>
        <v>0.20140515222482436</v>
      </c>
      <c r="M26" s="173">
        <f t="shared" si="8"/>
        <v>0.23728813559322035</v>
      </c>
      <c r="N26" s="188">
        <f>N19/N$21</f>
        <v>0.11441907405071275</v>
      </c>
    </row>
    <row r="27" spans="1:15" ht="16" thickBot="1" x14ac:dyDescent="0.25">
      <c r="A27" s="107" t="s">
        <v>95</v>
      </c>
      <c r="B27" s="177"/>
      <c r="C27" s="175"/>
      <c r="D27" s="176"/>
      <c r="E27" s="177"/>
      <c r="F27" s="175"/>
      <c r="G27" s="176"/>
      <c r="H27" s="177"/>
      <c r="I27" s="175"/>
      <c r="J27" s="176"/>
      <c r="K27" s="177"/>
      <c r="L27" s="175"/>
      <c r="M27" s="178"/>
      <c r="N27" s="240"/>
    </row>
    <row r="28" spans="1:15" ht="16" thickBot="1" x14ac:dyDescent="0.25">
      <c r="A28" s="96"/>
      <c r="B28" s="241"/>
      <c r="C28" s="108"/>
      <c r="D28" s="108"/>
      <c r="E28" s="241"/>
      <c r="F28" s="108"/>
      <c r="G28" s="108"/>
      <c r="H28" s="241"/>
      <c r="I28" s="108"/>
      <c r="J28" s="108"/>
      <c r="K28" s="241"/>
      <c r="L28" s="108"/>
      <c r="M28" s="168"/>
      <c r="N28" s="168"/>
    </row>
    <row r="29" spans="1:15" ht="16" thickBot="1" x14ac:dyDescent="0.25">
      <c r="A29" s="99" t="s">
        <v>25</v>
      </c>
      <c r="B29" s="120">
        <v>44927</v>
      </c>
      <c r="C29" s="121">
        <v>44958</v>
      </c>
      <c r="D29" s="122">
        <v>44986</v>
      </c>
      <c r="E29" s="120">
        <v>45017</v>
      </c>
      <c r="F29" s="121">
        <v>45047</v>
      </c>
      <c r="G29" s="122">
        <v>45078</v>
      </c>
      <c r="H29" s="120">
        <v>45108</v>
      </c>
      <c r="I29" s="121">
        <v>45139</v>
      </c>
      <c r="J29" s="122">
        <v>45170</v>
      </c>
      <c r="K29" s="120">
        <v>45200</v>
      </c>
      <c r="L29" s="121">
        <v>45231</v>
      </c>
      <c r="M29" s="123">
        <v>45261</v>
      </c>
      <c r="N29" s="406" t="s">
        <v>24</v>
      </c>
    </row>
    <row r="30" spans="1:15" x14ac:dyDescent="0.2">
      <c r="A30" s="105" t="s">
        <v>26</v>
      </c>
      <c r="B30" s="141">
        <v>735</v>
      </c>
      <c r="C30" s="142">
        <v>676</v>
      </c>
      <c r="D30" s="143">
        <v>680</v>
      </c>
      <c r="E30" s="141">
        <v>505</v>
      </c>
      <c r="F30" s="142">
        <v>462</v>
      </c>
      <c r="G30" s="143">
        <v>276</v>
      </c>
      <c r="H30" s="141">
        <v>192</v>
      </c>
      <c r="I30" s="142">
        <v>140</v>
      </c>
      <c r="J30" s="143">
        <v>133</v>
      </c>
      <c r="K30" s="141">
        <v>131</v>
      </c>
      <c r="L30" s="142">
        <v>176</v>
      </c>
      <c r="M30" s="169">
        <v>106</v>
      </c>
      <c r="N30" s="397">
        <f>SUM(B30:M30)</f>
        <v>4212</v>
      </c>
      <c r="O30" s="3"/>
    </row>
    <row r="31" spans="1:15" x14ac:dyDescent="0.2">
      <c r="A31" s="103" t="s">
        <v>27</v>
      </c>
      <c r="B31" s="146">
        <v>303</v>
      </c>
      <c r="C31" s="109">
        <v>349</v>
      </c>
      <c r="D31" s="147">
        <v>396</v>
      </c>
      <c r="E31" s="146">
        <v>215</v>
      </c>
      <c r="F31" s="109">
        <v>180</v>
      </c>
      <c r="G31" s="147">
        <v>223</v>
      </c>
      <c r="H31" s="146">
        <v>119</v>
      </c>
      <c r="I31" s="109">
        <v>152</v>
      </c>
      <c r="J31" s="147">
        <v>142</v>
      </c>
      <c r="K31" s="146">
        <v>110</v>
      </c>
      <c r="L31" s="109">
        <v>171</v>
      </c>
      <c r="M31" s="154">
        <v>136</v>
      </c>
      <c r="N31" s="153">
        <f t="shared" ref="N31:N36" si="9">SUM(B31:M31)</f>
        <v>2496</v>
      </c>
      <c r="O31" s="3"/>
    </row>
    <row r="32" spans="1:15" x14ac:dyDescent="0.2">
      <c r="A32" s="103" t="s">
        <v>28</v>
      </c>
      <c r="B32" s="146">
        <v>48</v>
      </c>
      <c r="C32" s="109">
        <v>53</v>
      </c>
      <c r="D32" s="147">
        <v>101</v>
      </c>
      <c r="E32" s="146">
        <v>79</v>
      </c>
      <c r="F32" s="109">
        <v>116</v>
      </c>
      <c r="G32" s="147">
        <v>107</v>
      </c>
      <c r="H32" s="146">
        <v>93</v>
      </c>
      <c r="I32" s="109">
        <v>90</v>
      </c>
      <c r="J32" s="147">
        <v>61</v>
      </c>
      <c r="K32" s="146">
        <v>72</v>
      </c>
      <c r="L32" s="109">
        <v>53</v>
      </c>
      <c r="M32" s="154">
        <v>38</v>
      </c>
      <c r="N32" s="153">
        <f t="shared" si="9"/>
        <v>911</v>
      </c>
      <c r="O32" s="3"/>
    </row>
    <row r="33" spans="1:15" x14ac:dyDescent="0.2">
      <c r="A33" s="103" t="s">
        <v>32</v>
      </c>
      <c r="B33" s="146">
        <v>1</v>
      </c>
      <c r="C33" s="109">
        <v>1</v>
      </c>
      <c r="D33" s="147">
        <v>13</v>
      </c>
      <c r="E33" s="146">
        <v>3</v>
      </c>
      <c r="F33" s="109">
        <v>8</v>
      </c>
      <c r="G33" s="147">
        <v>6</v>
      </c>
      <c r="H33" s="146">
        <v>10</v>
      </c>
      <c r="I33" s="109">
        <v>9</v>
      </c>
      <c r="J33" s="147">
        <v>4</v>
      </c>
      <c r="K33" s="146">
        <v>2</v>
      </c>
      <c r="L33" s="109">
        <v>7</v>
      </c>
      <c r="M33" s="154">
        <v>1</v>
      </c>
      <c r="N33" s="153">
        <f t="shared" si="9"/>
        <v>65</v>
      </c>
      <c r="O33" s="3"/>
    </row>
    <row r="34" spans="1:15" x14ac:dyDescent="0.2">
      <c r="A34" s="103" t="s">
        <v>30</v>
      </c>
      <c r="B34" s="146">
        <v>25</v>
      </c>
      <c r="C34" s="109">
        <v>16</v>
      </c>
      <c r="D34" s="147">
        <v>24</v>
      </c>
      <c r="E34" s="146">
        <v>19</v>
      </c>
      <c r="F34" s="109">
        <v>18</v>
      </c>
      <c r="G34" s="147">
        <v>25</v>
      </c>
      <c r="H34" s="146">
        <v>23</v>
      </c>
      <c r="I34" s="109">
        <v>27</v>
      </c>
      <c r="J34" s="147">
        <v>15</v>
      </c>
      <c r="K34" s="146">
        <v>11</v>
      </c>
      <c r="L34" s="109">
        <v>20</v>
      </c>
      <c r="M34" s="154">
        <v>14</v>
      </c>
      <c r="N34" s="153">
        <f t="shared" si="9"/>
        <v>237</v>
      </c>
      <c r="O34" s="3"/>
    </row>
    <row r="35" spans="1:15" ht="16" thickBot="1" x14ac:dyDescent="0.25">
      <c r="A35" s="106" t="s">
        <v>31</v>
      </c>
      <c r="B35" s="129"/>
      <c r="C35" s="130"/>
      <c r="D35" s="131"/>
      <c r="E35" s="129"/>
      <c r="F35" s="130"/>
      <c r="G35" s="131"/>
      <c r="H35" s="129"/>
      <c r="I35" s="130"/>
      <c r="J35" s="131"/>
      <c r="K35" s="129"/>
      <c r="L35" s="130"/>
      <c r="M35" s="132"/>
      <c r="N35" s="133"/>
    </row>
    <row r="36" spans="1:15" ht="16" thickBot="1" x14ac:dyDescent="0.25">
      <c r="A36" s="99" t="s">
        <v>24</v>
      </c>
      <c r="B36" s="139">
        <f t="shared" ref="B36:M36" si="10">SUM(B30:B35)</f>
        <v>1112</v>
      </c>
      <c r="C36" s="137">
        <f t="shared" si="10"/>
        <v>1095</v>
      </c>
      <c r="D36" s="138">
        <f t="shared" si="10"/>
        <v>1214</v>
      </c>
      <c r="E36" s="139">
        <f t="shared" si="10"/>
        <v>821</v>
      </c>
      <c r="F36" s="137">
        <f t="shared" si="10"/>
        <v>784</v>
      </c>
      <c r="G36" s="138">
        <f t="shared" si="10"/>
        <v>637</v>
      </c>
      <c r="H36" s="139">
        <f t="shared" si="10"/>
        <v>437</v>
      </c>
      <c r="I36" s="137">
        <f t="shared" si="10"/>
        <v>418</v>
      </c>
      <c r="J36" s="138">
        <f t="shared" si="10"/>
        <v>355</v>
      </c>
      <c r="K36" s="139">
        <f t="shared" si="10"/>
        <v>326</v>
      </c>
      <c r="L36" s="137">
        <f t="shared" si="10"/>
        <v>427</v>
      </c>
      <c r="M36" s="140">
        <f t="shared" si="10"/>
        <v>295</v>
      </c>
      <c r="N36" s="406">
        <f t="shared" si="9"/>
        <v>7921</v>
      </c>
    </row>
    <row r="37" spans="1:15" x14ac:dyDescent="0.2">
      <c r="A37" s="105" t="s">
        <v>17</v>
      </c>
      <c r="B37" s="181"/>
      <c r="C37" s="182"/>
      <c r="D37" s="183"/>
      <c r="E37" s="181"/>
      <c r="F37" s="182"/>
      <c r="G37" s="183"/>
      <c r="H37" s="181"/>
      <c r="I37" s="182"/>
      <c r="J37" s="183"/>
      <c r="K37" s="181"/>
      <c r="L37" s="182"/>
      <c r="M37" s="184"/>
      <c r="N37" s="185"/>
    </row>
    <row r="38" spans="1:15" x14ac:dyDescent="0.2">
      <c r="A38" s="103" t="s">
        <v>26</v>
      </c>
      <c r="B38" s="172">
        <f t="shared" ref="B38:M38" si="11">B30/B36</f>
        <v>0.66097122302158273</v>
      </c>
      <c r="C38" s="170">
        <f t="shared" si="11"/>
        <v>0.61735159817351604</v>
      </c>
      <c r="D38" s="171">
        <f t="shared" si="11"/>
        <v>0.56013179571663918</v>
      </c>
      <c r="E38" s="172">
        <f t="shared" si="11"/>
        <v>0.61510353227771009</v>
      </c>
      <c r="F38" s="170">
        <f t="shared" si="11"/>
        <v>0.5892857142857143</v>
      </c>
      <c r="G38" s="171">
        <f t="shared" si="11"/>
        <v>0.43328100470957615</v>
      </c>
      <c r="H38" s="172">
        <f t="shared" si="11"/>
        <v>0.43935926773455375</v>
      </c>
      <c r="I38" s="170">
        <f t="shared" si="11"/>
        <v>0.3349282296650718</v>
      </c>
      <c r="J38" s="171">
        <f t="shared" si="11"/>
        <v>0.37464788732394366</v>
      </c>
      <c r="K38" s="172">
        <f t="shared" si="11"/>
        <v>0.40184049079754602</v>
      </c>
      <c r="L38" s="170">
        <f t="shared" si="11"/>
        <v>0.41217798594847777</v>
      </c>
      <c r="M38" s="173">
        <f t="shared" si="11"/>
        <v>0.35932203389830508</v>
      </c>
      <c r="N38" s="188">
        <f t="shared" ref="N38:N43" si="12">N30/N$36</f>
        <v>0.53175104153515973</v>
      </c>
    </row>
    <row r="39" spans="1:15" x14ac:dyDescent="0.2">
      <c r="A39" s="103" t="s">
        <v>27</v>
      </c>
      <c r="B39" s="172">
        <f t="shared" ref="B39:M39" si="13">B31/B36</f>
        <v>0.27248201438848924</v>
      </c>
      <c r="C39" s="170">
        <f t="shared" si="13"/>
        <v>0.31872146118721462</v>
      </c>
      <c r="D39" s="171">
        <f t="shared" si="13"/>
        <v>0.32619439868204281</v>
      </c>
      <c r="E39" s="172">
        <f t="shared" si="13"/>
        <v>0.26187576126674789</v>
      </c>
      <c r="F39" s="170">
        <f t="shared" si="13"/>
        <v>0.22959183673469388</v>
      </c>
      <c r="G39" s="171">
        <f t="shared" si="13"/>
        <v>0.35007849293563581</v>
      </c>
      <c r="H39" s="172">
        <f t="shared" si="13"/>
        <v>0.27231121281464532</v>
      </c>
      <c r="I39" s="170">
        <f t="shared" si="13"/>
        <v>0.36363636363636365</v>
      </c>
      <c r="J39" s="171">
        <f t="shared" si="13"/>
        <v>0.4</v>
      </c>
      <c r="K39" s="172">
        <f t="shared" si="13"/>
        <v>0.33742331288343558</v>
      </c>
      <c r="L39" s="170">
        <f t="shared" si="13"/>
        <v>0.40046838407494145</v>
      </c>
      <c r="M39" s="173">
        <f t="shared" si="13"/>
        <v>0.46101694915254238</v>
      </c>
      <c r="N39" s="188">
        <f t="shared" si="12"/>
        <v>0.31511172831713169</v>
      </c>
    </row>
    <row r="40" spans="1:15" x14ac:dyDescent="0.2">
      <c r="A40" s="103" t="s">
        <v>28</v>
      </c>
      <c r="B40" s="172">
        <f t="shared" ref="B40:M40" si="14">B32/B36</f>
        <v>4.3165467625899283E-2</v>
      </c>
      <c r="C40" s="170">
        <f t="shared" si="14"/>
        <v>4.8401826484018265E-2</v>
      </c>
      <c r="D40" s="171">
        <f t="shared" si="14"/>
        <v>8.3196046128500817E-2</v>
      </c>
      <c r="E40" s="172">
        <f t="shared" si="14"/>
        <v>9.6224116930572479E-2</v>
      </c>
      <c r="F40" s="170">
        <f t="shared" si="14"/>
        <v>0.14795918367346939</v>
      </c>
      <c r="G40" s="171">
        <f t="shared" si="14"/>
        <v>0.16797488226059654</v>
      </c>
      <c r="H40" s="172">
        <f t="shared" si="14"/>
        <v>0.21281464530892449</v>
      </c>
      <c r="I40" s="170">
        <f t="shared" si="14"/>
        <v>0.21531100478468901</v>
      </c>
      <c r="J40" s="171">
        <f t="shared" si="14"/>
        <v>0.17183098591549295</v>
      </c>
      <c r="K40" s="172">
        <f t="shared" si="14"/>
        <v>0.22085889570552147</v>
      </c>
      <c r="L40" s="170">
        <f t="shared" si="14"/>
        <v>0.12412177985948478</v>
      </c>
      <c r="M40" s="173">
        <f t="shared" si="14"/>
        <v>0.12881355932203389</v>
      </c>
      <c r="N40" s="188">
        <f t="shared" si="12"/>
        <v>0.11501073096831207</v>
      </c>
    </row>
    <row r="41" spans="1:15" x14ac:dyDescent="0.2">
      <c r="A41" s="103" t="s">
        <v>32</v>
      </c>
      <c r="B41" s="172">
        <f t="shared" ref="B41:M41" si="15">B33/B36</f>
        <v>8.9928057553956839E-4</v>
      </c>
      <c r="C41" s="170">
        <f t="shared" si="15"/>
        <v>9.1324200913242006E-4</v>
      </c>
      <c r="D41" s="171">
        <f t="shared" si="15"/>
        <v>1.070840197693575E-2</v>
      </c>
      <c r="E41" s="172">
        <f t="shared" si="15"/>
        <v>3.6540803897685747E-3</v>
      </c>
      <c r="F41" s="170">
        <f t="shared" si="15"/>
        <v>1.020408163265306E-2</v>
      </c>
      <c r="G41" s="171">
        <f t="shared" si="15"/>
        <v>9.4191522762951327E-3</v>
      </c>
      <c r="H41" s="172">
        <f t="shared" si="15"/>
        <v>2.2883295194508008E-2</v>
      </c>
      <c r="I41" s="170">
        <f t="shared" si="15"/>
        <v>2.1531100478468901E-2</v>
      </c>
      <c r="J41" s="171">
        <f t="shared" si="15"/>
        <v>1.1267605633802818E-2</v>
      </c>
      <c r="K41" s="172">
        <f t="shared" si="15"/>
        <v>6.1349693251533744E-3</v>
      </c>
      <c r="L41" s="170">
        <f t="shared" si="15"/>
        <v>1.6393442622950821E-2</v>
      </c>
      <c r="M41" s="173">
        <f t="shared" si="15"/>
        <v>3.3898305084745762E-3</v>
      </c>
      <c r="N41" s="188">
        <f t="shared" si="12"/>
        <v>8.2060345915919708E-3</v>
      </c>
    </row>
    <row r="42" spans="1:15" x14ac:dyDescent="0.2">
      <c r="A42" s="103" t="s">
        <v>30</v>
      </c>
      <c r="B42" s="172">
        <f t="shared" ref="B42:M42" si="16">B34/B36</f>
        <v>2.2482014388489208E-2</v>
      </c>
      <c r="C42" s="170">
        <f t="shared" si="16"/>
        <v>1.4611872146118721E-2</v>
      </c>
      <c r="D42" s="171">
        <f t="shared" si="16"/>
        <v>1.9769357495881382E-2</v>
      </c>
      <c r="E42" s="172">
        <f t="shared" si="16"/>
        <v>2.3142509135200974E-2</v>
      </c>
      <c r="F42" s="170">
        <f t="shared" si="16"/>
        <v>2.2959183673469389E-2</v>
      </c>
      <c r="G42" s="171">
        <f t="shared" si="16"/>
        <v>3.924646781789639E-2</v>
      </c>
      <c r="H42" s="172">
        <f t="shared" si="16"/>
        <v>5.2631578947368418E-2</v>
      </c>
      <c r="I42" s="170">
        <f t="shared" si="16"/>
        <v>6.4593301435406703E-2</v>
      </c>
      <c r="J42" s="171">
        <f t="shared" si="16"/>
        <v>4.2253521126760563E-2</v>
      </c>
      <c r="K42" s="172">
        <f t="shared" si="16"/>
        <v>3.3742331288343558E-2</v>
      </c>
      <c r="L42" s="170">
        <f t="shared" si="16"/>
        <v>4.6838407494145202E-2</v>
      </c>
      <c r="M42" s="173">
        <f t="shared" si="16"/>
        <v>4.7457627118644069E-2</v>
      </c>
      <c r="N42" s="188">
        <f t="shared" si="12"/>
        <v>2.992046458780457E-2</v>
      </c>
    </row>
    <row r="43" spans="1:15" ht="16" thickBot="1" x14ac:dyDescent="0.25">
      <c r="A43" s="107" t="s">
        <v>31</v>
      </c>
      <c r="B43" s="160">
        <f t="shared" ref="B43:M43" si="17">B35/B36</f>
        <v>0</v>
      </c>
      <c r="C43" s="158">
        <f t="shared" si="17"/>
        <v>0</v>
      </c>
      <c r="D43" s="159">
        <f t="shared" si="17"/>
        <v>0</v>
      </c>
      <c r="E43" s="160">
        <f t="shared" si="17"/>
        <v>0</v>
      </c>
      <c r="F43" s="158">
        <f t="shared" si="17"/>
        <v>0</v>
      </c>
      <c r="G43" s="159">
        <f t="shared" si="17"/>
        <v>0</v>
      </c>
      <c r="H43" s="160">
        <f t="shared" si="17"/>
        <v>0</v>
      </c>
      <c r="I43" s="158">
        <f t="shared" si="17"/>
        <v>0</v>
      </c>
      <c r="J43" s="159">
        <f t="shared" si="17"/>
        <v>0</v>
      </c>
      <c r="K43" s="160">
        <f t="shared" si="17"/>
        <v>0</v>
      </c>
      <c r="L43" s="158">
        <f t="shared" si="17"/>
        <v>0</v>
      </c>
      <c r="M43" s="161">
        <f t="shared" si="17"/>
        <v>0</v>
      </c>
      <c r="N43" s="189">
        <f t="shared" si="12"/>
        <v>0</v>
      </c>
    </row>
    <row r="44" spans="1:15" ht="16" thickBot="1" x14ac:dyDescent="0.25">
      <c r="A44" s="96"/>
      <c r="B44" s="237"/>
      <c r="C44" s="238"/>
      <c r="D44" s="238"/>
      <c r="E44" s="237"/>
      <c r="F44" s="238"/>
      <c r="G44" s="238"/>
      <c r="H44" s="237"/>
      <c r="I44" s="238"/>
      <c r="J44" s="238"/>
      <c r="K44" s="237"/>
      <c r="L44" s="238"/>
      <c r="M44" s="239"/>
      <c r="N44" s="168"/>
    </row>
    <row r="45" spans="1:15" ht="16" thickBot="1" x14ac:dyDescent="0.25">
      <c r="A45" s="99" t="s">
        <v>33</v>
      </c>
      <c r="B45" s="120">
        <v>44927</v>
      </c>
      <c r="C45" s="121">
        <v>44958</v>
      </c>
      <c r="D45" s="122">
        <v>44986</v>
      </c>
      <c r="E45" s="120">
        <v>45017</v>
      </c>
      <c r="F45" s="121">
        <v>45047</v>
      </c>
      <c r="G45" s="122">
        <v>45078</v>
      </c>
      <c r="H45" s="120">
        <v>45108</v>
      </c>
      <c r="I45" s="121">
        <v>45139</v>
      </c>
      <c r="J45" s="122">
        <v>45170</v>
      </c>
      <c r="K45" s="120">
        <v>45200</v>
      </c>
      <c r="L45" s="121">
        <v>45231</v>
      </c>
      <c r="M45" s="123">
        <v>45261</v>
      </c>
      <c r="N45" s="406" t="s">
        <v>24</v>
      </c>
    </row>
    <row r="46" spans="1:15" x14ac:dyDescent="0.2">
      <c r="A46" s="105" t="s">
        <v>34</v>
      </c>
      <c r="B46" s="141">
        <v>1054</v>
      </c>
      <c r="C46" s="142">
        <v>1042</v>
      </c>
      <c r="D46" s="143">
        <v>1036</v>
      </c>
      <c r="E46" s="141">
        <v>715</v>
      </c>
      <c r="F46" s="142">
        <v>666</v>
      </c>
      <c r="G46" s="143">
        <v>528</v>
      </c>
      <c r="H46" s="141">
        <v>327</v>
      </c>
      <c r="I46" s="142">
        <v>323</v>
      </c>
      <c r="J46" s="143">
        <v>279</v>
      </c>
      <c r="K46" s="141">
        <v>252</v>
      </c>
      <c r="L46" s="142">
        <f>270+81</f>
        <v>351</v>
      </c>
      <c r="M46" s="169">
        <v>251</v>
      </c>
      <c r="N46" s="397">
        <f>SUM(B46:M46)</f>
        <v>6824</v>
      </c>
      <c r="O46" s="3"/>
    </row>
    <row r="47" spans="1:15" x14ac:dyDescent="0.2">
      <c r="A47" s="103" t="s">
        <v>35</v>
      </c>
      <c r="B47" s="146">
        <v>7</v>
      </c>
      <c r="C47" s="109">
        <v>7</v>
      </c>
      <c r="D47" s="147">
        <v>8</v>
      </c>
      <c r="E47" s="146">
        <v>8</v>
      </c>
      <c r="F47" s="109">
        <v>12</v>
      </c>
      <c r="G47" s="147">
        <v>13</v>
      </c>
      <c r="H47" s="146">
        <v>11</v>
      </c>
      <c r="I47" s="109">
        <v>7</v>
      </c>
      <c r="J47" s="147">
        <v>5</v>
      </c>
      <c r="K47" s="146">
        <v>4</v>
      </c>
      <c r="L47" s="109">
        <v>7</v>
      </c>
      <c r="M47" s="154">
        <v>2</v>
      </c>
      <c r="N47" s="153">
        <f t="shared" ref="N47:N53" si="18">SUM(B47:M47)</f>
        <v>91</v>
      </c>
      <c r="O47" s="3"/>
    </row>
    <row r="48" spans="1:15" x14ac:dyDescent="0.2">
      <c r="A48" s="103" t="s">
        <v>36</v>
      </c>
      <c r="B48" s="146">
        <v>4</v>
      </c>
      <c r="C48" s="109">
        <v>1</v>
      </c>
      <c r="D48" s="147">
        <v>4</v>
      </c>
      <c r="E48" s="146">
        <v>11</v>
      </c>
      <c r="F48" s="109">
        <v>5</v>
      </c>
      <c r="G48" s="147">
        <v>5</v>
      </c>
      <c r="H48" s="146">
        <v>5</v>
      </c>
      <c r="I48" s="109">
        <v>4</v>
      </c>
      <c r="J48" s="147">
        <v>2</v>
      </c>
      <c r="K48" s="146">
        <v>1</v>
      </c>
      <c r="L48" s="109">
        <v>4</v>
      </c>
      <c r="M48" s="154">
        <v>4</v>
      </c>
      <c r="N48" s="153">
        <f t="shared" si="18"/>
        <v>50</v>
      </c>
      <c r="O48" s="3"/>
    </row>
    <row r="49" spans="1:15" x14ac:dyDescent="0.2">
      <c r="A49" s="103" t="s">
        <v>37</v>
      </c>
      <c r="B49" s="146"/>
      <c r="C49" s="109"/>
      <c r="D49" s="147"/>
      <c r="E49" s="146">
        <v>5</v>
      </c>
      <c r="F49" s="109">
        <v>4</v>
      </c>
      <c r="G49" s="147">
        <v>11</v>
      </c>
      <c r="H49" s="146">
        <v>4</v>
      </c>
      <c r="I49" s="109">
        <v>1</v>
      </c>
      <c r="J49" s="147">
        <v>1</v>
      </c>
      <c r="K49" s="146">
        <v>8</v>
      </c>
      <c r="L49" s="109">
        <v>3</v>
      </c>
      <c r="M49" s="154">
        <v>4</v>
      </c>
      <c r="N49" s="153">
        <f t="shared" si="18"/>
        <v>41</v>
      </c>
      <c r="O49" s="3"/>
    </row>
    <row r="50" spans="1:15" x14ac:dyDescent="0.2">
      <c r="A50" s="103" t="s">
        <v>39</v>
      </c>
      <c r="B50" s="146">
        <v>42</v>
      </c>
      <c r="C50" s="109">
        <v>40</v>
      </c>
      <c r="D50" s="147">
        <v>57</v>
      </c>
      <c r="E50" s="146">
        <v>67</v>
      </c>
      <c r="F50" s="109">
        <v>100</v>
      </c>
      <c r="G50" s="147">
        <v>78</v>
      </c>
      <c r="H50" s="146">
        <v>86</v>
      </c>
      <c r="I50" s="109">
        <v>80</v>
      </c>
      <c r="J50" s="147">
        <v>62</v>
      </c>
      <c r="K50" s="146">
        <v>58</v>
      </c>
      <c r="L50" s="109">
        <v>57</v>
      </c>
      <c r="M50" s="154">
        <v>32</v>
      </c>
      <c r="N50" s="153">
        <f t="shared" si="18"/>
        <v>759</v>
      </c>
      <c r="O50" s="3"/>
    </row>
    <row r="51" spans="1:15" x14ac:dyDescent="0.2">
      <c r="A51" s="103" t="s">
        <v>30</v>
      </c>
      <c r="B51" s="146"/>
      <c r="C51" s="109"/>
      <c r="D51" s="147">
        <v>14</v>
      </c>
      <c r="E51" s="146">
        <v>12</v>
      </c>
      <c r="F51" s="109"/>
      <c r="G51" s="147"/>
      <c r="H51" s="146"/>
      <c r="I51" s="109"/>
      <c r="J51" s="147"/>
      <c r="K51" s="146"/>
      <c r="L51" s="109"/>
      <c r="M51" s="154"/>
      <c r="N51" s="153">
        <f t="shared" si="18"/>
        <v>26</v>
      </c>
      <c r="O51" s="3"/>
    </row>
    <row r="52" spans="1:15" ht="16" thickBot="1" x14ac:dyDescent="0.25">
      <c r="A52" s="106" t="s">
        <v>31</v>
      </c>
      <c r="B52" s="129">
        <v>5</v>
      </c>
      <c r="C52" s="130">
        <v>5</v>
      </c>
      <c r="D52" s="131">
        <v>4</v>
      </c>
      <c r="E52" s="129">
        <v>3</v>
      </c>
      <c r="F52" s="130">
        <v>5</v>
      </c>
      <c r="G52" s="131">
        <v>2</v>
      </c>
      <c r="H52" s="129">
        <v>4</v>
      </c>
      <c r="I52" s="130">
        <v>3</v>
      </c>
      <c r="J52" s="131">
        <v>6</v>
      </c>
      <c r="K52" s="129">
        <v>3</v>
      </c>
      <c r="L52" s="130">
        <v>5</v>
      </c>
      <c r="M52" s="132">
        <v>2</v>
      </c>
      <c r="N52" s="133">
        <f t="shared" si="18"/>
        <v>47</v>
      </c>
      <c r="O52" s="3"/>
    </row>
    <row r="53" spans="1:15" ht="16" thickBot="1" x14ac:dyDescent="0.25">
      <c r="A53" s="99" t="s">
        <v>24</v>
      </c>
      <c r="B53" s="139">
        <f t="shared" ref="B53:M53" si="19">SUM(B46:B52)</f>
        <v>1112</v>
      </c>
      <c r="C53" s="137">
        <f t="shared" si="19"/>
        <v>1095</v>
      </c>
      <c r="D53" s="138">
        <f t="shared" si="19"/>
        <v>1123</v>
      </c>
      <c r="E53" s="139">
        <f t="shared" si="19"/>
        <v>821</v>
      </c>
      <c r="F53" s="137">
        <f t="shared" si="19"/>
        <v>792</v>
      </c>
      <c r="G53" s="138">
        <f t="shared" si="19"/>
        <v>637</v>
      </c>
      <c r="H53" s="139">
        <f t="shared" si="19"/>
        <v>437</v>
      </c>
      <c r="I53" s="137">
        <f t="shared" si="19"/>
        <v>418</v>
      </c>
      <c r="J53" s="138">
        <f t="shared" si="19"/>
        <v>355</v>
      </c>
      <c r="K53" s="139">
        <f t="shared" si="19"/>
        <v>326</v>
      </c>
      <c r="L53" s="137">
        <f t="shared" si="19"/>
        <v>427</v>
      </c>
      <c r="M53" s="140">
        <f t="shared" si="19"/>
        <v>295</v>
      </c>
      <c r="N53" s="406">
        <f t="shared" si="18"/>
        <v>7838</v>
      </c>
    </row>
    <row r="54" spans="1:15" x14ac:dyDescent="0.2">
      <c r="A54" s="105" t="s">
        <v>17</v>
      </c>
      <c r="B54" s="141"/>
      <c r="C54" s="142"/>
      <c r="D54" s="143"/>
      <c r="E54" s="141"/>
      <c r="F54" s="142"/>
      <c r="G54" s="143"/>
      <c r="H54" s="141"/>
      <c r="I54" s="142"/>
      <c r="J54" s="143"/>
      <c r="K54" s="141"/>
      <c r="L54" s="142"/>
      <c r="M54" s="169"/>
      <c r="N54" s="397"/>
    </row>
    <row r="55" spans="1:15" x14ac:dyDescent="0.2">
      <c r="A55" s="103" t="s">
        <v>34</v>
      </c>
      <c r="B55" s="172">
        <f t="shared" ref="B55:M55" si="20">B46/B53</f>
        <v>0.94784172661870503</v>
      </c>
      <c r="C55" s="170">
        <f t="shared" si="20"/>
        <v>0.95159817351598175</v>
      </c>
      <c r="D55" s="171">
        <f t="shared" si="20"/>
        <v>0.92252894033837929</v>
      </c>
      <c r="E55" s="172">
        <f t="shared" si="20"/>
        <v>0.87088915956151036</v>
      </c>
      <c r="F55" s="170">
        <f t="shared" si="20"/>
        <v>0.84090909090909094</v>
      </c>
      <c r="G55" s="171">
        <f t="shared" si="20"/>
        <v>0.82888540031397173</v>
      </c>
      <c r="H55" s="172">
        <f t="shared" si="20"/>
        <v>0.74828375286041193</v>
      </c>
      <c r="I55" s="170">
        <f t="shared" si="20"/>
        <v>0.77272727272727271</v>
      </c>
      <c r="J55" s="171">
        <f t="shared" si="20"/>
        <v>0.78591549295774643</v>
      </c>
      <c r="K55" s="172">
        <f t="shared" si="20"/>
        <v>0.77300613496932513</v>
      </c>
      <c r="L55" s="170">
        <f t="shared" si="20"/>
        <v>0.82201405152224827</v>
      </c>
      <c r="M55" s="173">
        <f t="shared" si="20"/>
        <v>0.85084745762711866</v>
      </c>
      <c r="N55" s="188">
        <f t="shared" ref="N55:N61" si="21">N46/N$53</f>
        <v>0.8706302628221485</v>
      </c>
    </row>
    <row r="56" spans="1:15" x14ac:dyDescent="0.2">
      <c r="A56" s="103" t="s">
        <v>35</v>
      </c>
      <c r="B56" s="172">
        <f t="shared" ref="B56:M56" si="22">B47/B53</f>
        <v>6.2949640287769783E-3</v>
      </c>
      <c r="C56" s="170">
        <f t="shared" si="22"/>
        <v>6.392694063926941E-3</v>
      </c>
      <c r="D56" s="171">
        <f t="shared" si="22"/>
        <v>7.1237756010685662E-3</v>
      </c>
      <c r="E56" s="172">
        <f t="shared" si="22"/>
        <v>9.7442143727161992E-3</v>
      </c>
      <c r="F56" s="170">
        <f t="shared" si="22"/>
        <v>1.5151515151515152E-2</v>
      </c>
      <c r="G56" s="171">
        <f t="shared" si="22"/>
        <v>2.0408163265306121E-2</v>
      </c>
      <c r="H56" s="172">
        <f t="shared" si="22"/>
        <v>2.5171624713958809E-2</v>
      </c>
      <c r="I56" s="170">
        <f t="shared" si="22"/>
        <v>1.6746411483253589E-2</v>
      </c>
      <c r="J56" s="171">
        <f t="shared" si="22"/>
        <v>1.4084507042253521E-2</v>
      </c>
      <c r="K56" s="172">
        <f t="shared" si="22"/>
        <v>1.2269938650306749E-2</v>
      </c>
      <c r="L56" s="170">
        <f t="shared" si="22"/>
        <v>1.6393442622950821E-2</v>
      </c>
      <c r="M56" s="173">
        <f t="shared" si="22"/>
        <v>6.7796610169491523E-3</v>
      </c>
      <c r="N56" s="188">
        <f t="shared" si="21"/>
        <v>1.1610104618525133E-2</v>
      </c>
    </row>
    <row r="57" spans="1:15" x14ac:dyDescent="0.2">
      <c r="A57" s="103" t="s">
        <v>36</v>
      </c>
      <c r="B57" s="172">
        <f t="shared" ref="B57:M57" si="23">B48/B53</f>
        <v>3.5971223021582736E-3</v>
      </c>
      <c r="C57" s="170">
        <f t="shared" si="23"/>
        <v>9.1324200913242006E-4</v>
      </c>
      <c r="D57" s="171">
        <f t="shared" si="23"/>
        <v>3.5618878005342831E-3</v>
      </c>
      <c r="E57" s="172">
        <f t="shared" si="23"/>
        <v>1.3398294762484775E-2</v>
      </c>
      <c r="F57" s="170">
        <f t="shared" si="23"/>
        <v>6.313131313131313E-3</v>
      </c>
      <c r="G57" s="171">
        <f t="shared" si="23"/>
        <v>7.8492935635792772E-3</v>
      </c>
      <c r="H57" s="172">
        <f t="shared" si="23"/>
        <v>1.1441647597254004E-2</v>
      </c>
      <c r="I57" s="170">
        <f t="shared" si="23"/>
        <v>9.5693779904306216E-3</v>
      </c>
      <c r="J57" s="171">
        <f t="shared" si="23"/>
        <v>5.6338028169014088E-3</v>
      </c>
      <c r="K57" s="172">
        <f t="shared" si="23"/>
        <v>3.0674846625766872E-3</v>
      </c>
      <c r="L57" s="170">
        <f t="shared" si="23"/>
        <v>9.3676814988290398E-3</v>
      </c>
      <c r="M57" s="173">
        <f t="shared" si="23"/>
        <v>1.3559322033898305E-2</v>
      </c>
      <c r="N57" s="188">
        <f t="shared" si="21"/>
        <v>6.3791783618269964E-3</v>
      </c>
    </row>
    <row r="58" spans="1:15" x14ac:dyDescent="0.2">
      <c r="A58" s="103" t="s">
        <v>37</v>
      </c>
      <c r="B58" s="172">
        <f t="shared" ref="B58:M58" si="24">B49/B53</f>
        <v>0</v>
      </c>
      <c r="C58" s="170">
        <f t="shared" si="24"/>
        <v>0</v>
      </c>
      <c r="D58" s="171">
        <f t="shared" si="24"/>
        <v>0</v>
      </c>
      <c r="E58" s="172">
        <f t="shared" si="24"/>
        <v>6.0901339829476245E-3</v>
      </c>
      <c r="F58" s="170">
        <f t="shared" si="24"/>
        <v>5.0505050505050509E-3</v>
      </c>
      <c r="G58" s="171">
        <f t="shared" si="24"/>
        <v>1.726844583987441E-2</v>
      </c>
      <c r="H58" s="172">
        <f t="shared" si="24"/>
        <v>9.1533180778032037E-3</v>
      </c>
      <c r="I58" s="170">
        <f t="shared" si="24"/>
        <v>2.3923444976076554E-3</v>
      </c>
      <c r="J58" s="171">
        <f t="shared" si="24"/>
        <v>2.8169014084507044E-3</v>
      </c>
      <c r="K58" s="172">
        <f t="shared" si="24"/>
        <v>2.4539877300613498E-2</v>
      </c>
      <c r="L58" s="170">
        <f t="shared" si="24"/>
        <v>7.0257611241217799E-3</v>
      </c>
      <c r="M58" s="173">
        <f t="shared" si="24"/>
        <v>1.3559322033898305E-2</v>
      </c>
      <c r="N58" s="188">
        <f t="shared" si="21"/>
        <v>5.230926256698137E-3</v>
      </c>
    </row>
    <row r="59" spans="1:15" x14ac:dyDescent="0.2">
      <c r="A59" s="103" t="s">
        <v>39</v>
      </c>
      <c r="B59" s="172">
        <f t="shared" ref="B59:M59" si="25">B50/B53</f>
        <v>3.7769784172661872E-2</v>
      </c>
      <c r="C59" s="170">
        <f t="shared" si="25"/>
        <v>3.6529680365296802E-2</v>
      </c>
      <c r="D59" s="171">
        <f t="shared" si="25"/>
        <v>5.0756901157613533E-2</v>
      </c>
      <c r="E59" s="172">
        <f t="shared" si="25"/>
        <v>8.1607795371498176E-2</v>
      </c>
      <c r="F59" s="170">
        <f t="shared" si="25"/>
        <v>0.12626262626262627</v>
      </c>
      <c r="G59" s="171">
        <f t="shared" si="25"/>
        <v>0.12244897959183673</v>
      </c>
      <c r="H59" s="172">
        <f t="shared" si="25"/>
        <v>0.19679633867276888</v>
      </c>
      <c r="I59" s="170">
        <f t="shared" si="25"/>
        <v>0.19138755980861244</v>
      </c>
      <c r="J59" s="171">
        <f t="shared" si="25"/>
        <v>0.17464788732394365</v>
      </c>
      <c r="K59" s="172">
        <f t="shared" si="25"/>
        <v>0.17791411042944785</v>
      </c>
      <c r="L59" s="170">
        <f t="shared" si="25"/>
        <v>0.13348946135831383</v>
      </c>
      <c r="M59" s="173">
        <f t="shared" si="25"/>
        <v>0.10847457627118644</v>
      </c>
      <c r="N59" s="188">
        <f t="shared" si="21"/>
        <v>9.6835927532533811E-2</v>
      </c>
    </row>
    <row r="60" spans="1:15" x14ac:dyDescent="0.2">
      <c r="A60" s="103" t="s">
        <v>30</v>
      </c>
      <c r="B60" s="172">
        <f t="shared" ref="B60:M60" si="26">B51/B53</f>
        <v>0</v>
      </c>
      <c r="C60" s="170">
        <f t="shared" si="26"/>
        <v>0</v>
      </c>
      <c r="D60" s="171">
        <f t="shared" si="26"/>
        <v>1.2466607301869992E-2</v>
      </c>
      <c r="E60" s="172">
        <f t="shared" si="26"/>
        <v>1.4616321559074299E-2</v>
      </c>
      <c r="F60" s="170">
        <f t="shared" si="26"/>
        <v>0</v>
      </c>
      <c r="G60" s="171">
        <f t="shared" si="26"/>
        <v>0</v>
      </c>
      <c r="H60" s="172">
        <f t="shared" si="26"/>
        <v>0</v>
      </c>
      <c r="I60" s="170">
        <f t="shared" si="26"/>
        <v>0</v>
      </c>
      <c r="J60" s="171">
        <f t="shared" si="26"/>
        <v>0</v>
      </c>
      <c r="K60" s="172">
        <f t="shared" si="26"/>
        <v>0</v>
      </c>
      <c r="L60" s="170">
        <f t="shared" si="26"/>
        <v>0</v>
      </c>
      <c r="M60" s="173">
        <f t="shared" si="26"/>
        <v>0</v>
      </c>
      <c r="N60" s="188">
        <f t="shared" si="21"/>
        <v>3.3171727481500382E-3</v>
      </c>
    </row>
    <row r="61" spans="1:15" ht="16" thickBot="1" x14ac:dyDescent="0.25">
      <c r="A61" s="107" t="s">
        <v>31</v>
      </c>
      <c r="B61" s="160">
        <f t="shared" ref="B61:M61" si="27">B52/B53</f>
        <v>4.4964028776978415E-3</v>
      </c>
      <c r="C61" s="158">
        <f t="shared" si="27"/>
        <v>4.5662100456621002E-3</v>
      </c>
      <c r="D61" s="159">
        <f t="shared" si="27"/>
        <v>3.5618878005342831E-3</v>
      </c>
      <c r="E61" s="160">
        <f t="shared" si="27"/>
        <v>3.6540803897685747E-3</v>
      </c>
      <c r="F61" s="158">
        <f t="shared" si="27"/>
        <v>6.313131313131313E-3</v>
      </c>
      <c r="G61" s="159">
        <f t="shared" si="27"/>
        <v>3.1397174254317113E-3</v>
      </c>
      <c r="H61" s="160">
        <f t="shared" si="27"/>
        <v>9.1533180778032037E-3</v>
      </c>
      <c r="I61" s="158">
        <f t="shared" si="27"/>
        <v>7.1770334928229667E-3</v>
      </c>
      <c r="J61" s="159">
        <f t="shared" si="27"/>
        <v>1.6901408450704224E-2</v>
      </c>
      <c r="K61" s="160">
        <f t="shared" si="27"/>
        <v>9.202453987730062E-3</v>
      </c>
      <c r="L61" s="158">
        <f t="shared" si="27"/>
        <v>1.1709601873536301E-2</v>
      </c>
      <c r="M61" s="161">
        <f t="shared" si="27"/>
        <v>6.7796610169491523E-3</v>
      </c>
      <c r="N61" s="189">
        <f t="shared" si="21"/>
        <v>5.9964276601173769E-3</v>
      </c>
    </row>
    <row r="62" spans="1:15" ht="16" thickBot="1" x14ac:dyDescent="0.25">
      <c r="A62" s="96"/>
      <c r="B62" s="237"/>
      <c r="C62" s="238"/>
      <c r="D62" s="238"/>
      <c r="E62" s="237"/>
      <c r="F62" s="238"/>
      <c r="G62" s="238"/>
      <c r="H62" s="237"/>
      <c r="I62" s="238"/>
      <c r="J62" s="238"/>
      <c r="K62" s="237"/>
      <c r="L62" s="238"/>
      <c r="M62" s="239"/>
      <c r="N62" s="168"/>
    </row>
    <row r="63" spans="1:15" ht="16" thickBot="1" x14ac:dyDescent="0.25">
      <c r="A63" s="99" t="s">
        <v>40</v>
      </c>
      <c r="B63" s="120">
        <v>44927</v>
      </c>
      <c r="C63" s="121">
        <v>44958</v>
      </c>
      <c r="D63" s="122">
        <v>44986</v>
      </c>
      <c r="E63" s="120">
        <v>45017</v>
      </c>
      <c r="F63" s="121">
        <v>45047</v>
      </c>
      <c r="G63" s="122">
        <v>45078</v>
      </c>
      <c r="H63" s="120">
        <v>45108</v>
      </c>
      <c r="I63" s="121">
        <v>45139</v>
      </c>
      <c r="J63" s="122">
        <v>45170</v>
      </c>
      <c r="K63" s="120">
        <v>45200</v>
      </c>
      <c r="L63" s="121">
        <v>45231</v>
      </c>
      <c r="M63" s="123">
        <v>45261</v>
      </c>
      <c r="N63" s="406" t="s">
        <v>24</v>
      </c>
    </row>
    <row r="64" spans="1:15" x14ac:dyDescent="0.2">
      <c r="A64" s="105" t="s">
        <v>41</v>
      </c>
      <c r="B64" s="141">
        <v>208</v>
      </c>
      <c r="C64" s="142">
        <v>204</v>
      </c>
      <c r="D64" s="143">
        <v>228</v>
      </c>
      <c r="E64" s="141">
        <v>101</v>
      </c>
      <c r="F64" s="142">
        <v>117</v>
      </c>
      <c r="G64" s="143">
        <v>77</v>
      </c>
      <c r="H64" s="141">
        <v>52</v>
      </c>
      <c r="I64" s="142">
        <v>49</v>
      </c>
      <c r="J64" s="143">
        <v>61</v>
      </c>
      <c r="K64" s="141">
        <v>52</v>
      </c>
      <c r="L64" s="142">
        <f>18+55</f>
        <v>73</v>
      </c>
      <c r="M64" s="169">
        <v>33</v>
      </c>
      <c r="N64" s="397">
        <f>SUM(B64:M64)</f>
        <v>1255</v>
      </c>
      <c r="O64" s="3"/>
    </row>
    <row r="65" spans="1:15" x14ac:dyDescent="0.2">
      <c r="A65" s="103" t="s">
        <v>42</v>
      </c>
      <c r="B65" s="146">
        <v>123</v>
      </c>
      <c r="C65" s="109">
        <v>109</v>
      </c>
      <c r="D65" s="147">
        <v>123</v>
      </c>
      <c r="E65" s="146">
        <v>82</v>
      </c>
      <c r="F65" s="109">
        <v>70</v>
      </c>
      <c r="G65" s="147">
        <v>55</v>
      </c>
      <c r="H65" s="146">
        <v>42</v>
      </c>
      <c r="I65" s="109">
        <v>51</v>
      </c>
      <c r="J65" s="147">
        <v>39</v>
      </c>
      <c r="K65" s="146">
        <v>42</v>
      </c>
      <c r="L65" s="109">
        <f>11+52</f>
        <v>63</v>
      </c>
      <c r="M65" s="154">
        <v>51</v>
      </c>
      <c r="N65" s="153">
        <f t="shared" ref="N65:N72" si="28">SUM(B65:M65)</f>
        <v>850</v>
      </c>
      <c r="O65" s="3"/>
    </row>
    <row r="66" spans="1:15" x14ac:dyDescent="0.2">
      <c r="A66" s="103" t="s">
        <v>43</v>
      </c>
      <c r="B66" s="146">
        <v>125</v>
      </c>
      <c r="C66" s="109">
        <v>141</v>
      </c>
      <c r="D66" s="147">
        <v>160</v>
      </c>
      <c r="E66" s="146">
        <v>158</v>
      </c>
      <c r="F66" s="109">
        <v>108</v>
      </c>
      <c r="G66" s="147">
        <v>90</v>
      </c>
      <c r="H66" s="146">
        <v>42</v>
      </c>
      <c r="I66" s="109">
        <v>51</v>
      </c>
      <c r="J66" s="147">
        <v>46</v>
      </c>
      <c r="K66" s="146">
        <v>49</v>
      </c>
      <c r="L66" s="109">
        <v>44</v>
      </c>
      <c r="M66" s="154">
        <v>31</v>
      </c>
      <c r="N66" s="153">
        <f t="shared" si="28"/>
        <v>1045</v>
      </c>
      <c r="O66" s="3"/>
    </row>
    <row r="67" spans="1:15" x14ac:dyDescent="0.2">
      <c r="A67" s="103" t="s">
        <v>44</v>
      </c>
      <c r="B67" s="146">
        <v>113</v>
      </c>
      <c r="C67" s="109">
        <v>138</v>
      </c>
      <c r="D67" s="147">
        <v>131</v>
      </c>
      <c r="E67" s="146">
        <v>82</v>
      </c>
      <c r="F67" s="109">
        <v>115</v>
      </c>
      <c r="G67" s="147">
        <v>110</v>
      </c>
      <c r="H67" s="146">
        <v>51</v>
      </c>
      <c r="I67" s="109">
        <v>80</v>
      </c>
      <c r="J67" s="147">
        <v>65</v>
      </c>
      <c r="K67" s="146">
        <v>67</v>
      </c>
      <c r="L67" s="109">
        <v>64</v>
      </c>
      <c r="M67" s="154">
        <v>57</v>
      </c>
      <c r="N67" s="153">
        <f t="shared" si="28"/>
        <v>1073</v>
      </c>
      <c r="O67" s="3"/>
    </row>
    <row r="68" spans="1:15" x14ac:dyDescent="0.2">
      <c r="A68" s="103" t="s">
        <v>45</v>
      </c>
      <c r="B68" s="146">
        <v>138</v>
      </c>
      <c r="C68" s="109">
        <v>148</v>
      </c>
      <c r="D68" s="147">
        <v>163</v>
      </c>
      <c r="E68" s="146">
        <v>101</v>
      </c>
      <c r="F68" s="109">
        <v>86</v>
      </c>
      <c r="G68" s="147">
        <v>84</v>
      </c>
      <c r="H68" s="146">
        <v>50</v>
      </c>
      <c r="I68" s="109">
        <v>58</v>
      </c>
      <c r="J68" s="147">
        <v>27</v>
      </c>
      <c r="K68" s="146">
        <v>42</v>
      </c>
      <c r="L68" s="109">
        <v>66</v>
      </c>
      <c r="M68" s="154">
        <v>63</v>
      </c>
      <c r="N68" s="153">
        <f t="shared" si="28"/>
        <v>1026</v>
      </c>
      <c r="O68" s="3"/>
    </row>
    <row r="69" spans="1:15" x14ac:dyDescent="0.2">
      <c r="A69" s="103" t="s">
        <v>46</v>
      </c>
      <c r="B69" s="146">
        <v>380</v>
      </c>
      <c r="C69" s="109">
        <v>318</v>
      </c>
      <c r="D69" s="147">
        <v>372</v>
      </c>
      <c r="E69" s="146">
        <v>272</v>
      </c>
      <c r="F69" s="109">
        <v>265</v>
      </c>
      <c r="G69" s="147">
        <v>208</v>
      </c>
      <c r="H69" s="146">
        <v>76</v>
      </c>
      <c r="I69" s="109">
        <v>128</v>
      </c>
      <c r="J69" s="147">
        <v>113</v>
      </c>
      <c r="K69" s="146">
        <v>72</v>
      </c>
      <c r="L69" s="109">
        <f>88+26</f>
        <v>114</v>
      </c>
      <c r="M69" s="154">
        <v>59</v>
      </c>
      <c r="N69" s="153">
        <f t="shared" si="28"/>
        <v>2377</v>
      </c>
      <c r="O69" s="3"/>
    </row>
    <row r="70" spans="1:15" x14ac:dyDescent="0.2">
      <c r="A70" s="103" t="s">
        <v>47</v>
      </c>
      <c r="B70" s="146">
        <v>5</v>
      </c>
      <c r="C70" s="109">
        <v>13</v>
      </c>
      <c r="D70" s="147">
        <v>7</v>
      </c>
      <c r="E70" s="146">
        <v>8</v>
      </c>
      <c r="F70" s="109">
        <v>6</v>
      </c>
      <c r="G70" s="147">
        <v>2</v>
      </c>
      <c r="H70" s="146"/>
      <c r="I70" s="109"/>
      <c r="J70" s="147"/>
      <c r="K70" s="146"/>
      <c r="L70" s="109"/>
      <c r="M70" s="154"/>
      <c r="N70" s="153">
        <f t="shared" si="28"/>
        <v>41</v>
      </c>
      <c r="O70" s="3"/>
    </row>
    <row r="71" spans="1:15" ht="16" thickBot="1" x14ac:dyDescent="0.25">
      <c r="A71" s="106" t="s">
        <v>31</v>
      </c>
      <c r="B71" s="129">
        <v>20</v>
      </c>
      <c r="C71" s="130">
        <v>24</v>
      </c>
      <c r="D71" s="131">
        <v>30</v>
      </c>
      <c r="E71" s="129">
        <v>17</v>
      </c>
      <c r="F71" s="130">
        <v>22</v>
      </c>
      <c r="G71" s="131">
        <v>10</v>
      </c>
      <c r="H71" s="129">
        <v>124</v>
      </c>
      <c r="I71" s="130">
        <v>1</v>
      </c>
      <c r="J71" s="131">
        <v>4</v>
      </c>
      <c r="K71" s="129">
        <v>2</v>
      </c>
      <c r="L71" s="130">
        <v>3</v>
      </c>
      <c r="M71" s="132">
        <v>1</v>
      </c>
      <c r="N71" s="133">
        <f t="shared" si="28"/>
        <v>258</v>
      </c>
      <c r="O71" s="3"/>
    </row>
    <row r="72" spans="1:15" ht="16" thickBot="1" x14ac:dyDescent="0.25">
      <c r="A72" s="99" t="s">
        <v>24</v>
      </c>
      <c r="B72" s="139">
        <f>SUM(B$64:B$71)</f>
        <v>1112</v>
      </c>
      <c r="C72" s="137">
        <f>SUM(C$64:C$71)</f>
        <v>1095</v>
      </c>
      <c r="D72" s="138">
        <f>SUM(D64:D71)</f>
        <v>1214</v>
      </c>
      <c r="E72" s="139">
        <f>SUM(E64:E71)</f>
        <v>821</v>
      </c>
      <c r="F72" s="137">
        <f>SUM(F64:F71)</f>
        <v>789</v>
      </c>
      <c r="G72" s="138">
        <f>SUM(G64:G71)</f>
        <v>636</v>
      </c>
      <c r="H72" s="139">
        <f>SUM(H64:H71)</f>
        <v>437</v>
      </c>
      <c r="I72" s="137">
        <f t="shared" ref="I72:M72" si="29">SUM(I64:I71)</f>
        <v>418</v>
      </c>
      <c r="J72" s="138">
        <f t="shared" si="29"/>
        <v>355</v>
      </c>
      <c r="K72" s="139">
        <f t="shared" si="29"/>
        <v>326</v>
      </c>
      <c r="L72" s="137">
        <f t="shared" si="29"/>
        <v>427</v>
      </c>
      <c r="M72" s="140">
        <f t="shared" si="29"/>
        <v>295</v>
      </c>
      <c r="N72" s="406">
        <f t="shared" si="28"/>
        <v>7925</v>
      </c>
    </row>
    <row r="73" spans="1:15" x14ac:dyDescent="0.2">
      <c r="A73" s="105" t="s">
        <v>17</v>
      </c>
      <c r="B73" s="141"/>
      <c r="C73" s="142"/>
      <c r="D73" s="143"/>
      <c r="E73" s="141"/>
      <c r="F73" s="142"/>
      <c r="G73" s="143"/>
      <c r="H73" s="141"/>
      <c r="I73" s="142"/>
      <c r="J73" s="143"/>
      <c r="K73" s="141"/>
      <c r="L73" s="142"/>
      <c r="M73" s="169"/>
      <c r="N73" s="397"/>
    </row>
    <row r="74" spans="1:15" x14ac:dyDescent="0.2">
      <c r="A74" s="103" t="s">
        <v>41</v>
      </c>
      <c r="B74" s="172">
        <f>B64/B$72</f>
        <v>0.18705035971223022</v>
      </c>
      <c r="C74" s="170">
        <f>$L64/$L$72</f>
        <v>0.17096018735362997</v>
      </c>
      <c r="D74" s="171">
        <f>$M64/$M$72</f>
        <v>0.11186440677966102</v>
      </c>
      <c r="E74" s="172">
        <f>$E64/$E$72</f>
        <v>0.12302070645554203</v>
      </c>
      <c r="F74" s="170">
        <f>$F64/$F$72</f>
        <v>0.14828897338403041</v>
      </c>
      <c r="G74" s="171">
        <f>$G64/$G$72</f>
        <v>0.12106918238993711</v>
      </c>
      <c r="H74" s="172">
        <f>H64/H72</f>
        <v>0.11899313501144165</v>
      </c>
      <c r="I74" s="170">
        <f t="shared" ref="I74:M74" si="30">I64/I72</f>
        <v>0.11722488038277512</v>
      </c>
      <c r="J74" s="171">
        <f t="shared" si="30"/>
        <v>0.17183098591549295</v>
      </c>
      <c r="K74" s="172">
        <f t="shared" si="30"/>
        <v>0.15950920245398773</v>
      </c>
      <c r="L74" s="170">
        <f t="shared" si="30"/>
        <v>0.17096018735362997</v>
      </c>
      <c r="M74" s="173">
        <f t="shared" si="30"/>
        <v>0.11186440677966102</v>
      </c>
      <c r="N74" s="188">
        <f t="shared" ref="N74:N81" si="31">N64/N$72</f>
        <v>0.1583596214511041</v>
      </c>
    </row>
    <row r="75" spans="1:15" x14ac:dyDescent="0.2">
      <c r="A75" s="103" t="s">
        <v>42</v>
      </c>
      <c r="B75" s="172">
        <f t="shared" ref="B75:B81" si="32">$K65/$K$72</f>
        <v>0.12883435582822086</v>
      </c>
      <c r="C75" s="170">
        <f>$L65/$L$72</f>
        <v>0.14754098360655737</v>
      </c>
      <c r="D75" s="171">
        <f t="shared" ref="D75:D81" si="33">$M65/$M$72</f>
        <v>0.17288135593220338</v>
      </c>
      <c r="E75" s="172">
        <f t="shared" ref="E75:E81" si="34">$E65/$E$72</f>
        <v>9.9878197320341047E-2</v>
      </c>
      <c r="F75" s="170">
        <f t="shared" ref="F75:F81" si="35">$F65/$F$72</f>
        <v>8.8719898605830169E-2</v>
      </c>
      <c r="G75" s="171">
        <f t="shared" ref="G75:G81" si="36">$G65/$G$72</f>
        <v>8.6477987421383642E-2</v>
      </c>
      <c r="H75" s="172">
        <f>H65/H72</f>
        <v>9.6109839816933634E-2</v>
      </c>
      <c r="I75" s="170">
        <f t="shared" ref="I75:M75" si="37">I65/I72</f>
        <v>0.12200956937799043</v>
      </c>
      <c r="J75" s="171">
        <f t="shared" si="37"/>
        <v>0.10985915492957747</v>
      </c>
      <c r="K75" s="172">
        <f t="shared" si="37"/>
        <v>0.12883435582822086</v>
      </c>
      <c r="L75" s="170">
        <f t="shared" si="37"/>
        <v>0.14754098360655737</v>
      </c>
      <c r="M75" s="173">
        <f t="shared" si="37"/>
        <v>0.17288135593220338</v>
      </c>
      <c r="N75" s="188">
        <f t="shared" si="31"/>
        <v>0.10725552050473186</v>
      </c>
    </row>
    <row r="76" spans="1:15" x14ac:dyDescent="0.2">
      <c r="A76" s="103" t="s">
        <v>43</v>
      </c>
      <c r="B76" s="172">
        <f t="shared" si="32"/>
        <v>0.15030674846625766</v>
      </c>
      <c r="C76" s="170">
        <f t="shared" ref="C76:C81" si="38">$L66/$L$72</f>
        <v>0.10304449648711944</v>
      </c>
      <c r="D76" s="171">
        <f t="shared" si="33"/>
        <v>0.10508474576271186</v>
      </c>
      <c r="E76" s="172">
        <f t="shared" si="34"/>
        <v>0.19244823386114496</v>
      </c>
      <c r="F76" s="170">
        <f t="shared" si="35"/>
        <v>0.13688212927756654</v>
      </c>
      <c r="G76" s="171">
        <f t="shared" si="36"/>
        <v>0.14150943396226415</v>
      </c>
      <c r="H76" s="172">
        <f>H66/H72</f>
        <v>9.6109839816933634E-2</v>
      </c>
      <c r="I76" s="170">
        <f t="shared" ref="I76:M76" si="39">I66/I72</f>
        <v>0.12200956937799043</v>
      </c>
      <c r="J76" s="171">
        <f t="shared" si="39"/>
        <v>0.12957746478873239</v>
      </c>
      <c r="K76" s="172">
        <f t="shared" si="39"/>
        <v>0.15030674846625766</v>
      </c>
      <c r="L76" s="170">
        <f t="shared" si="39"/>
        <v>0.10304449648711944</v>
      </c>
      <c r="M76" s="173">
        <f t="shared" si="39"/>
        <v>0.10508474576271186</v>
      </c>
      <c r="N76" s="188">
        <f t="shared" si="31"/>
        <v>0.13186119873817034</v>
      </c>
    </row>
    <row r="77" spans="1:15" x14ac:dyDescent="0.2">
      <c r="A77" s="103" t="s">
        <v>44</v>
      </c>
      <c r="B77" s="172">
        <f t="shared" si="32"/>
        <v>0.20552147239263804</v>
      </c>
      <c r="C77" s="170">
        <f t="shared" si="38"/>
        <v>0.14988290398126464</v>
      </c>
      <c r="D77" s="171">
        <f t="shared" si="33"/>
        <v>0.19322033898305085</v>
      </c>
      <c r="E77" s="172">
        <f t="shared" si="34"/>
        <v>9.9878197320341047E-2</v>
      </c>
      <c r="F77" s="170">
        <f t="shared" si="35"/>
        <v>0.14575411913814956</v>
      </c>
      <c r="G77" s="171">
        <f t="shared" si="36"/>
        <v>0.17295597484276728</v>
      </c>
      <c r="H77" s="172">
        <f>H67/H72</f>
        <v>0.11670480549199085</v>
      </c>
      <c r="I77" s="170">
        <f t="shared" ref="I77:M77" si="40">I67/I72</f>
        <v>0.19138755980861244</v>
      </c>
      <c r="J77" s="171">
        <f t="shared" si="40"/>
        <v>0.18309859154929578</v>
      </c>
      <c r="K77" s="172">
        <f t="shared" si="40"/>
        <v>0.20552147239263804</v>
      </c>
      <c r="L77" s="170">
        <f t="shared" si="40"/>
        <v>0.14988290398126464</v>
      </c>
      <c r="M77" s="173">
        <f t="shared" si="40"/>
        <v>0.19322033898305085</v>
      </c>
      <c r="N77" s="188">
        <f t="shared" si="31"/>
        <v>0.13539432176656152</v>
      </c>
    </row>
    <row r="78" spans="1:15" x14ac:dyDescent="0.2">
      <c r="A78" s="103" t="s">
        <v>45</v>
      </c>
      <c r="B78" s="172">
        <f t="shared" si="32"/>
        <v>0.12883435582822086</v>
      </c>
      <c r="C78" s="170">
        <f t="shared" si="38"/>
        <v>0.15456674473067916</v>
      </c>
      <c r="D78" s="171">
        <f t="shared" si="33"/>
        <v>0.2135593220338983</v>
      </c>
      <c r="E78" s="172">
        <f t="shared" si="34"/>
        <v>0.12302070645554203</v>
      </c>
      <c r="F78" s="170">
        <f t="shared" si="35"/>
        <v>0.10899873257287707</v>
      </c>
      <c r="G78" s="171">
        <f t="shared" si="36"/>
        <v>0.13207547169811321</v>
      </c>
      <c r="H78" s="172">
        <f>H68/H72</f>
        <v>0.11441647597254005</v>
      </c>
      <c r="I78" s="170">
        <f t="shared" ref="I78:M78" si="41">I68/I72</f>
        <v>0.13875598086124402</v>
      </c>
      <c r="J78" s="171">
        <f t="shared" si="41"/>
        <v>7.605633802816901E-2</v>
      </c>
      <c r="K78" s="172">
        <f t="shared" si="41"/>
        <v>0.12883435582822086</v>
      </c>
      <c r="L78" s="170">
        <f t="shared" si="41"/>
        <v>0.15456674473067916</v>
      </c>
      <c r="M78" s="173">
        <f t="shared" si="41"/>
        <v>0.2135593220338983</v>
      </c>
      <c r="N78" s="188">
        <f t="shared" si="31"/>
        <v>0.12946372239747633</v>
      </c>
    </row>
    <row r="79" spans="1:15" x14ac:dyDescent="0.2">
      <c r="A79" s="103" t="s">
        <v>46</v>
      </c>
      <c r="B79" s="172">
        <f t="shared" si="32"/>
        <v>0.22085889570552147</v>
      </c>
      <c r="C79" s="170">
        <f t="shared" si="38"/>
        <v>0.26697892271662765</v>
      </c>
      <c r="D79" s="171">
        <f t="shared" si="33"/>
        <v>0.2</v>
      </c>
      <c r="E79" s="172">
        <f t="shared" si="34"/>
        <v>0.33130328867235082</v>
      </c>
      <c r="F79" s="170">
        <f t="shared" si="35"/>
        <v>0.33586818757921422</v>
      </c>
      <c r="G79" s="171">
        <f t="shared" si="36"/>
        <v>0.32704402515723269</v>
      </c>
      <c r="H79" s="172">
        <f>H69/H72</f>
        <v>0.17391304347826086</v>
      </c>
      <c r="I79" s="170">
        <f t="shared" ref="I79:M79" si="42">I69/I72</f>
        <v>0.30622009569377989</v>
      </c>
      <c r="J79" s="171">
        <f t="shared" si="42"/>
        <v>0.3183098591549296</v>
      </c>
      <c r="K79" s="172">
        <f t="shared" si="42"/>
        <v>0.22085889570552147</v>
      </c>
      <c r="L79" s="170">
        <f t="shared" si="42"/>
        <v>0.26697892271662765</v>
      </c>
      <c r="M79" s="173">
        <f t="shared" si="42"/>
        <v>0.2</v>
      </c>
      <c r="N79" s="188">
        <f t="shared" si="31"/>
        <v>0.29993690851735016</v>
      </c>
    </row>
    <row r="80" spans="1:15" x14ac:dyDescent="0.2">
      <c r="A80" s="103" t="s">
        <v>47</v>
      </c>
      <c r="B80" s="172">
        <f t="shared" si="32"/>
        <v>0</v>
      </c>
      <c r="C80" s="170">
        <f t="shared" si="38"/>
        <v>0</v>
      </c>
      <c r="D80" s="171">
        <f t="shared" si="33"/>
        <v>0</v>
      </c>
      <c r="E80" s="172">
        <f t="shared" si="34"/>
        <v>9.7442143727161992E-3</v>
      </c>
      <c r="F80" s="170">
        <f t="shared" si="35"/>
        <v>7.6045627376425855E-3</v>
      </c>
      <c r="G80" s="171">
        <f t="shared" si="36"/>
        <v>3.1446540880503146E-3</v>
      </c>
      <c r="H80" s="172"/>
      <c r="I80" s="170"/>
      <c r="J80" s="171"/>
      <c r="K80" s="172"/>
      <c r="L80" s="170"/>
      <c r="M80" s="173"/>
      <c r="N80" s="188">
        <f t="shared" si="31"/>
        <v>5.1735015772870659E-3</v>
      </c>
    </row>
    <row r="81" spans="1:15" ht="16" thickBot="1" x14ac:dyDescent="0.25">
      <c r="A81" s="107" t="s">
        <v>31</v>
      </c>
      <c r="B81" s="160">
        <f t="shared" si="32"/>
        <v>6.1349693251533744E-3</v>
      </c>
      <c r="C81" s="158">
        <f t="shared" si="38"/>
        <v>7.0257611241217799E-3</v>
      </c>
      <c r="D81" s="159">
        <f t="shared" si="33"/>
        <v>3.3898305084745762E-3</v>
      </c>
      <c r="E81" s="160">
        <f t="shared" si="34"/>
        <v>2.0706455542021926E-2</v>
      </c>
      <c r="F81" s="158">
        <f t="shared" si="35"/>
        <v>2.7883396704689482E-2</v>
      </c>
      <c r="G81" s="159">
        <f t="shared" si="36"/>
        <v>1.5723270440251572E-2</v>
      </c>
      <c r="H81" s="160">
        <f>H71/H72</f>
        <v>0.28375286041189929</v>
      </c>
      <c r="I81" s="158">
        <f t="shared" ref="I81:M81" si="43">I71/I72</f>
        <v>2.3923444976076554E-3</v>
      </c>
      <c r="J81" s="159">
        <f t="shared" si="43"/>
        <v>1.1267605633802818E-2</v>
      </c>
      <c r="K81" s="160">
        <f t="shared" si="43"/>
        <v>6.1349693251533744E-3</v>
      </c>
      <c r="L81" s="158">
        <f t="shared" si="43"/>
        <v>7.0257611241217799E-3</v>
      </c>
      <c r="M81" s="161">
        <f t="shared" si="43"/>
        <v>3.3898305084745762E-3</v>
      </c>
      <c r="N81" s="189">
        <f t="shared" si="31"/>
        <v>3.2555205047318611E-2</v>
      </c>
    </row>
    <row r="82" spans="1:15" ht="16" thickBot="1" x14ac:dyDescent="0.25">
      <c r="A82" s="96"/>
      <c r="B82" s="241"/>
      <c r="C82" s="108"/>
      <c r="D82" s="108"/>
      <c r="E82" s="241"/>
      <c r="F82" s="108"/>
      <c r="G82" s="108"/>
      <c r="H82" s="241"/>
      <c r="I82" s="108"/>
      <c r="J82" s="108"/>
      <c r="K82" s="241"/>
      <c r="L82" s="108"/>
      <c r="M82" s="168"/>
      <c r="N82" s="168"/>
    </row>
    <row r="83" spans="1:15" ht="16" thickBot="1" x14ac:dyDescent="0.25">
      <c r="A83" s="101" t="s">
        <v>48</v>
      </c>
      <c r="B83" s="241"/>
      <c r="C83" s="108"/>
      <c r="D83" s="108"/>
      <c r="E83" s="241"/>
      <c r="F83" s="108"/>
      <c r="G83" s="108"/>
      <c r="H83" s="241"/>
      <c r="I83" s="108"/>
      <c r="J83" s="108"/>
      <c r="K83" s="241"/>
      <c r="L83" s="108"/>
      <c r="M83" s="168"/>
      <c r="N83" s="168"/>
    </row>
    <row r="84" spans="1:15" ht="16" thickBot="1" x14ac:dyDescent="0.25">
      <c r="A84" s="99" t="s">
        <v>49</v>
      </c>
      <c r="B84" s="120">
        <v>44927</v>
      </c>
      <c r="C84" s="121">
        <v>44958</v>
      </c>
      <c r="D84" s="122">
        <v>44986</v>
      </c>
      <c r="E84" s="120">
        <v>45017</v>
      </c>
      <c r="F84" s="121">
        <v>45047</v>
      </c>
      <c r="G84" s="122">
        <v>45078</v>
      </c>
      <c r="H84" s="120">
        <v>45108</v>
      </c>
      <c r="I84" s="121">
        <v>45139</v>
      </c>
      <c r="J84" s="122">
        <v>45170</v>
      </c>
      <c r="K84" s="120">
        <v>45200</v>
      </c>
      <c r="L84" s="121">
        <v>45231</v>
      </c>
      <c r="M84" s="123">
        <v>45261</v>
      </c>
      <c r="N84" s="406" t="s">
        <v>24</v>
      </c>
    </row>
    <row r="85" spans="1:15" x14ac:dyDescent="0.2">
      <c r="A85" s="105" t="s">
        <v>50</v>
      </c>
      <c r="B85" s="141">
        <v>763</v>
      </c>
      <c r="C85" s="142">
        <v>712</v>
      </c>
      <c r="D85" s="143">
        <f>53+685</f>
        <v>738</v>
      </c>
      <c r="E85" s="141">
        <v>510</v>
      </c>
      <c r="F85" s="142">
        <v>437</v>
      </c>
      <c r="G85" s="143">
        <v>375</v>
      </c>
      <c r="H85" s="141">
        <v>247</v>
      </c>
      <c r="I85" s="142">
        <v>211</v>
      </c>
      <c r="J85" s="143">
        <v>182</v>
      </c>
      <c r="K85" s="141">
        <v>185</v>
      </c>
      <c r="L85" s="142">
        <f>56+197</f>
        <v>253</v>
      </c>
      <c r="M85" s="169">
        <v>170</v>
      </c>
      <c r="N85" s="397">
        <f>SUM(B85:M85)</f>
        <v>4783</v>
      </c>
      <c r="O85" s="3"/>
    </row>
    <row r="86" spans="1:15" x14ac:dyDescent="0.2">
      <c r="A86" s="103" t="s">
        <v>51</v>
      </c>
      <c r="B86" s="146">
        <v>129</v>
      </c>
      <c r="C86" s="109">
        <v>192</v>
      </c>
      <c r="D86" s="147">
        <f>206+14</f>
        <v>220</v>
      </c>
      <c r="E86" s="146">
        <v>142</v>
      </c>
      <c r="F86" s="109">
        <v>163</v>
      </c>
      <c r="G86" s="147">
        <v>88</v>
      </c>
      <c r="H86" s="146">
        <v>68</v>
      </c>
      <c r="I86" s="109">
        <v>79</v>
      </c>
      <c r="J86" s="147">
        <v>74</v>
      </c>
      <c r="K86" s="146">
        <v>61</v>
      </c>
      <c r="L86" s="109">
        <f>11+53</f>
        <v>64</v>
      </c>
      <c r="M86" s="154">
        <v>55</v>
      </c>
      <c r="N86" s="153">
        <f t="shared" ref="N86:N92" si="44">SUM(B86:M86)</f>
        <v>1335</v>
      </c>
      <c r="O86" s="3"/>
    </row>
    <row r="87" spans="1:15" x14ac:dyDescent="0.2">
      <c r="A87" s="103" t="s">
        <v>52</v>
      </c>
      <c r="B87" s="146">
        <v>138</v>
      </c>
      <c r="C87" s="109">
        <v>112</v>
      </c>
      <c r="D87" s="147">
        <f>131+16</f>
        <v>147</v>
      </c>
      <c r="E87" s="146">
        <v>63</v>
      </c>
      <c r="F87" s="109">
        <v>67</v>
      </c>
      <c r="G87" s="147">
        <v>62</v>
      </c>
      <c r="H87" s="146">
        <v>44</v>
      </c>
      <c r="I87" s="109">
        <v>44</v>
      </c>
      <c r="J87" s="147">
        <v>39</v>
      </c>
      <c r="K87" s="146">
        <v>27</v>
      </c>
      <c r="L87" s="109">
        <v>40</v>
      </c>
      <c r="M87" s="154">
        <v>38</v>
      </c>
      <c r="N87" s="153">
        <f t="shared" si="44"/>
        <v>821</v>
      </c>
      <c r="O87" s="3"/>
    </row>
    <row r="88" spans="1:15" x14ac:dyDescent="0.2">
      <c r="A88" s="103" t="s">
        <v>56</v>
      </c>
      <c r="B88" s="146">
        <v>10</v>
      </c>
      <c r="C88" s="109">
        <v>21</v>
      </c>
      <c r="D88" s="147">
        <v>35</v>
      </c>
      <c r="E88" s="146">
        <v>29</v>
      </c>
      <c r="F88" s="109">
        <v>31</v>
      </c>
      <c r="G88" s="147">
        <v>27</v>
      </c>
      <c r="H88" s="146">
        <v>20</v>
      </c>
      <c r="I88" s="109">
        <v>11</v>
      </c>
      <c r="J88" s="147">
        <v>10</v>
      </c>
      <c r="K88" s="146">
        <v>10</v>
      </c>
      <c r="L88" s="109">
        <v>14</v>
      </c>
      <c r="M88" s="154">
        <v>8</v>
      </c>
      <c r="N88" s="153">
        <f t="shared" si="44"/>
        <v>226</v>
      </c>
      <c r="O88" s="3"/>
    </row>
    <row r="89" spans="1:15" x14ac:dyDescent="0.2">
      <c r="A89" s="103" t="s">
        <v>54</v>
      </c>
      <c r="B89" s="146">
        <v>1</v>
      </c>
      <c r="C89" s="109">
        <v>4</v>
      </c>
      <c r="D89" s="147">
        <v>2</v>
      </c>
      <c r="E89" s="146">
        <v>2</v>
      </c>
      <c r="F89" s="109">
        <v>1</v>
      </c>
      <c r="G89" s="147">
        <v>1</v>
      </c>
      <c r="H89" s="146">
        <v>1</v>
      </c>
      <c r="I89" s="109">
        <v>1</v>
      </c>
      <c r="J89" s="147"/>
      <c r="K89" s="146">
        <v>1</v>
      </c>
      <c r="L89" s="109"/>
      <c r="M89" s="154"/>
      <c r="N89" s="153">
        <f t="shared" si="44"/>
        <v>14</v>
      </c>
      <c r="O89" s="3"/>
    </row>
    <row r="90" spans="1:15" x14ac:dyDescent="0.2">
      <c r="A90" s="103" t="s">
        <v>30</v>
      </c>
      <c r="B90" s="146">
        <v>27</v>
      </c>
      <c r="C90" s="109">
        <v>17</v>
      </c>
      <c r="D90" s="147">
        <v>17</v>
      </c>
      <c r="E90" s="146">
        <v>16</v>
      </c>
      <c r="F90" s="109">
        <v>26</v>
      </c>
      <c r="G90" s="147">
        <v>14</v>
      </c>
      <c r="H90" s="146">
        <v>4</v>
      </c>
      <c r="I90" s="109">
        <v>6</v>
      </c>
      <c r="J90" s="147">
        <v>7</v>
      </c>
      <c r="K90" s="146">
        <v>2</v>
      </c>
      <c r="L90" s="109">
        <v>5</v>
      </c>
      <c r="M90" s="154">
        <v>7</v>
      </c>
      <c r="N90" s="153">
        <f t="shared" si="44"/>
        <v>148</v>
      </c>
      <c r="O90" s="3"/>
    </row>
    <row r="91" spans="1:15" ht="16" thickBot="1" x14ac:dyDescent="0.25">
      <c r="A91" s="106" t="s">
        <v>55</v>
      </c>
      <c r="B91" s="129">
        <v>31</v>
      </c>
      <c r="C91" s="130">
        <v>27</v>
      </c>
      <c r="D91" s="131">
        <v>45</v>
      </c>
      <c r="E91" s="129">
        <v>47</v>
      </c>
      <c r="F91" s="130">
        <v>56</v>
      </c>
      <c r="G91" s="131">
        <v>65</v>
      </c>
      <c r="H91" s="129">
        <v>49</v>
      </c>
      <c r="I91" s="130">
        <v>65</v>
      </c>
      <c r="J91" s="131">
        <v>34</v>
      </c>
      <c r="K91" s="129">
        <v>34</v>
      </c>
      <c r="L91" s="130">
        <v>49</v>
      </c>
      <c r="M91" s="132">
        <v>15</v>
      </c>
      <c r="N91" s="133">
        <f t="shared" si="44"/>
        <v>517</v>
      </c>
      <c r="O91" s="3"/>
    </row>
    <row r="92" spans="1:15" ht="16" thickBot="1" x14ac:dyDescent="0.25">
      <c r="A92" s="99" t="s">
        <v>24</v>
      </c>
      <c r="B92" s="139">
        <f t="shared" ref="B92:M92" si="45">SUM(B85:B91)</f>
        <v>1099</v>
      </c>
      <c r="C92" s="137">
        <f t="shared" si="45"/>
        <v>1085</v>
      </c>
      <c r="D92" s="138">
        <f t="shared" si="45"/>
        <v>1204</v>
      </c>
      <c r="E92" s="139">
        <f t="shared" si="45"/>
        <v>809</v>
      </c>
      <c r="F92" s="137">
        <f t="shared" si="45"/>
        <v>781</v>
      </c>
      <c r="G92" s="138">
        <f t="shared" si="45"/>
        <v>632</v>
      </c>
      <c r="H92" s="139">
        <f t="shared" si="45"/>
        <v>433</v>
      </c>
      <c r="I92" s="137">
        <f t="shared" si="45"/>
        <v>417</v>
      </c>
      <c r="J92" s="138">
        <f t="shared" si="45"/>
        <v>346</v>
      </c>
      <c r="K92" s="139">
        <f t="shared" si="45"/>
        <v>320</v>
      </c>
      <c r="L92" s="137">
        <f t="shared" si="45"/>
        <v>425</v>
      </c>
      <c r="M92" s="140">
        <f t="shared" si="45"/>
        <v>293</v>
      </c>
      <c r="N92" s="406">
        <f t="shared" si="44"/>
        <v>7844</v>
      </c>
    </row>
    <row r="93" spans="1:15" x14ac:dyDescent="0.2">
      <c r="A93" s="105" t="s">
        <v>17</v>
      </c>
      <c r="B93" s="181"/>
      <c r="C93" s="182"/>
      <c r="D93" s="183"/>
      <c r="E93" s="181"/>
      <c r="F93" s="182"/>
      <c r="G93" s="183"/>
      <c r="H93" s="181"/>
      <c r="I93" s="182"/>
      <c r="J93" s="183"/>
      <c r="K93" s="181"/>
      <c r="L93" s="182"/>
      <c r="M93" s="184"/>
      <c r="N93" s="397"/>
    </row>
    <row r="94" spans="1:15" x14ac:dyDescent="0.2">
      <c r="A94" s="103" t="s">
        <v>50</v>
      </c>
      <c r="B94" s="172">
        <f t="shared" ref="B94:M94" si="46">B85/B92</f>
        <v>0.69426751592356684</v>
      </c>
      <c r="C94" s="170">
        <f t="shared" si="46"/>
        <v>0.65622119815668201</v>
      </c>
      <c r="D94" s="171">
        <f t="shared" si="46"/>
        <v>0.6129568106312292</v>
      </c>
      <c r="E94" s="172">
        <f t="shared" si="46"/>
        <v>0.63040791100123605</v>
      </c>
      <c r="F94" s="170">
        <f t="shared" si="46"/>
        <v>0.55953905249679903</v>
      </c>
      <c r="G94" s="171">
        <f t="shared" si="46"/>
        <v>0.59335443037974689</v>
      </c>
      <c r="H94" s="172">
        <f t="shared" si="46"/>
        <v>0.57043879907621242</v>
      </c>
      <c r="I94" s="170">
        <f t="shared" si="46"/>
        <v>0.50599520383693042</v>
      </c>
      <c r="J94" s="171">
        <f t="shared" si="46"/>
        <v>0.52601156069364163</v>
      </c>
      <c r="K94" s="172">
        <f t="shared" si="46"/>
        <v>0.578125</v>
      </c>
      <c r="L94" s="170">
        <f t="shared" si="46"/>
        <v>0.59529411764705886</v>
      </c>
      <c r="M94" s="173">
        <f t="shared" si="46"/>
        <v>0.58020477815699656</v>
      </c>
      <c r="N94" s="188">
        <f t="shared" ref="N94:N100" si="47">N85/N$92</f>
        <v>0.60976542580316162</v>
      </c>
    </row>
    <row r="95" spans="1:15" x14ac:dyDescent="0.2">
      <c r="A95" s="103" t="s">
        <v>51</v>
      </c>
      <c r="B95" s="172">
        <f t="shared" ref="B95:M95" si="48">B86/B92</f>
        <v>0.11737943585077343</v>
      </c>
      <c r="C95" s="170">
        <f t="shared" si="48"/>
        <v>0.17695852534562212</v>
      </c>
      <c r="D95" s="171">
        <f t="shared" si="48"/>
        <v>0.18272425249169436</v>
      </c>
      <c r="E95" s="172">
        <f t="shared" si="48"/>
        <v>0.17552533992583436</v>
      </c>
      <c r="F95" s="170">
        <f t="shared" si="48"/>
        <v>0.2087067861715749</v>
      </c>
      <c r="G95" s="171">
        <f t="shared" si="48"/>
        <v>0.13924050632911392</v>
      </c>
      <c r="H95" s="172">
        <f t="shared" si="48"/>
        <v>0.15704387990762125</v>
      </c>
      <c r="I95" s="170">
        <f t="shared" si="48"/>
        <v>0.18944844124700239</v>
      </c>
      <c r="J95" s="171">
        <f t="shared" si="48"/>
        <v>0.2138728323699422</v>
      </c>
      <c r="K95" s="172">
        <f t="shared" si="48"/>
        <v>0.19062499999999999</v>
      </c>
      <c r="L95" s="170">
        <f t="shared" si="48"/>
        <v>0.15058823529411763</v>
      </c>
      <c r="M95" s="173">
        <f t="shared" si="48"/>
        <v>0.18771331058020477</v>
      </c>
      <c r="N95" s="188">
        <f t="shared" si="47"/>
        <v>0.17019377868434471</v>
      </c>
    </row>
    <row r="96" spans="1:15" x14ac:dyDescent="0.2">
      <c r="A96" s="103" t="s">
        <v>52</v>
      </c>
      <c r="B96" s="172">
        <f t="shared" ref="B96:M96" si="49">B87/B92</f>
        <v>0.12556869881710647</v>
      </c>
      <c r="C96" s="170">
        <f t="shared" si="49"/>
        <v>0.1032258064516129</v>
      </c>
      <c r="D96" s="171">
        <f t="shared" si="49"/>
        <v>0.12209302325581395</v>
      </c>
      <c r="E96" s="172">
        <f t="shared" si="49"/>
        <v>7.7873918417799753E-2</v>
      </c>
      <c r="F96" s="170">
        <f t="shared" si="49"/>
        <v>8.5787451984635082E-2</v>
      </c>
      <c r="G96" s="171">
        <f t="shared" si="49"/>
        <v>9.8101265822784806E-2</v>
      </c>
      <c r="H96" s="172">
        <f t="shared" si="49"/>
        <v>0.10161662817551963</v>
      </c>
      <c r="I96" s="170">
        <f t="shared" si="49"/>
        <v>0.10551558752997602</v>
      </c>
      <c r="J96" s="171">
        <f t="shared" si="49"/>
        <v>0.11271676300578035</v>
      </c>
      <c r="K96" s="172">
        <f t="shared" si="49"/>
        <v>8.4375000000000006E-2</v>
      </c>
      <c r="L96" s="170">
        <f t="shared" si="49"/>
        <v>9.4117647058823528E-2</v>
      </c>
      <c r="M96" s="173">
        <f t="shared" si="49"/>
        <v>0.12969283276450511</v>
      </c>
      <c r="N96" s="188">
        <f t="shared" si="47"/>
        <v>0.10466598674145844</v>
      </c>
    </row>
    <row r="97" spans="1:15" x14ac:dyDescent="0.2">
      <c r="A97" s="103" t="s">
        <v>56</v>
      </c>
      <c r="B97" s="172">
        <f t="shared" ref="B97:M97" si="50">B88/B92</f>
        <v>9.0991810737033659E-3</v>
      </c>
      <c r="C97" s="170">
        <f t="shared" si="50"/>
        <v>1.935483870967742E-2</v>
      </c>
      <c r="D97" s="171">
        <f t="shared" si="50"/>
        <v>2.9069767441860465E-2</v>
      </c>
      <c r="E97" s="172">
        <f t="shared" si="50"/>
        <v>3.5846724351050678E-2</v>
      </c>
      <c r="F97" s="170">
        <f t="shared" si="50"/>
        <v>3.9692701664532648E-2</v>
      </c>
      <c r="G97" s="171">
        <f t="shared" si="50"/>
        <v>4.2721518987341771E-2</v>
      </c>
      <c r="H97" s="172">
        <f t="shared" si="50"/>
        <v>4.6189376443418015E-2</v>
      </c>
      <c r="I97" s="170">
        <f t="shared" si="50"/>
        <v>2.6378896882494004E-2</v>
      </c>
      <c r="J97" s="171">
        <f t="shared" si="50"/>
        <v>2.8901734104046242E-2</v>
      </c>
      <c r="K97" s="172">
        <f t="shared" si="50"/>
        <v>3.125E-2</v>
      </c>
      <c r="L97" s="170">
        <f t="shared" si="50"/>
        <v>3.2941176470588238E-2</v>
      </c>
      <c r="M97" s="173">
        <f t="shared" si="50"/>
        <v>2.7303754266211604E-2</v>
      </c>
      <c r="N97" s="188">
        <f t="shared" si="47"/>
        <v>2.8811830698623152E-2</v>
      </c>
    </row>
    <row r="98" spans="1:15" x14ac:dyDescent="0.2">
      <c r="A98" s="103" t="s">
        <v>54</v>
      </c>
      <c r="B98" s="172">
        <f t="shared" ref="B98:M98" si="51">B89/B92</f>
        <v>9.099181073703367E-4</v>
      </c>
      <c r="C98" s="170">
        <f t="shared" si="51"/>
        <v>3.6866359447004608E-3</v>
      </c>
      <c r="D98" s="171">
        <f t="shared" si="51"/>
        <v>1.6611295681063123E-3</v>
      </c>
      <c r="E98" s="172">
        <f t="shared" si="51"/>
        <v>2.472187886279357E-3</v>
      </c>
      <c r="F98" s="170">
        <f t="shared" si="51"/>
        <v>1.2804097311139564E-3</v>
      </c>
      <c r="G98" s="171">
        <f t="shared" si="51"/>
        <v>1.5822784810126582E-3</v>
      </c>
      <c r="H98" s="172">
        <f t="shared" si="51"/>
        <v>2.3094688221709007E-3</v>
      </c>
      <c r="I98" s="170">
        <f t="shared" si="51"/>
        <v>2.3980815347721821E-3</v>
      </c>
      <c r="J98" s="171">
        <f t="shared" si="51"/>
        <v>0</v>
      </c>
      <c r="K98" s="172">
        <f t="shared" si="51"/>
        <v>3.1250000000000002E-3</v>
      </c>
      <c r="L98" s="170">
        <f t="shared" si="51"/>
        <v>0</v>
      </c>
      <c r="M98" s="173">
        <f t="shared" si="51"/>
        <v>0</v>
      </c>
      <c r="N98" s="188">
        <f t="shared" si="47"/>
        <v>1.7848036715961244E-3</v>
      </c>
    </row>
    <row r="99" spans="1:15" x14ac:dyDescent="0.2">
      <c r="A99" s="103" t="s">
        <v>30</v>
      </c>
      <c r="B99" s="172">
        <f t="shared" ref="B99:M99" si="52">B90/B92</f>
        <v>2.4567788898999091E-2</v>
      </c>
      <c r="C99" s="170">
        <f t="shared" si="52"/>
        <v>1.5668202764976959E-2</v>
      </c>
      <c r="D99" s="171">
        <f t="shared" si="52"/>
        <v>1.4119601328903655E-2</v>
      </c>
      <c r="E99" s="172">
        <f t="shared" si="52"/>
        <v>1.9777503090234856E-2</v>
      </c>
      <c r="F99" s="170">
        <f t="shared" si="52"/>
        <v>3.3290653008962869E-2</v>
      </c>
      <c r="G99" s="171">
        <f t="shared" si="52"/>
        <v>2.2151898734177215E-2</v>
      </c>
      <c r="H99" s="172">
        <f t="shared" si="52"/>
        <v>9.2378752886836026E-3</v>
      </c>
      <c r="I99" s="170">
        <f t="shared" si="52"/>
        <v>1.4388489208633094E-2</v>
      </c>
      <c r="J99" s="171">
        <f t="shared" si="52"/>
        <v>2.023121387283237E-2</v>
      </c>
      <c r="K99" s="172">
        <f t="shared" si="52"/>
        <v>6.2500000000000003E-3</v>
      </c>
      <c r="L99" s="170">
        <f t="shared" si="52"/>
        <v>1.1764705882352941E-2</v>
      </c>
      <c r="M99" s="173">
        <f t="shared" si="52"/>
        <v>2.3890784982935155E-2</v>
      </c>
      <c r="N99" s="188">
        <f t="shared" si="47"/>
        <v>1.8867924528301886E-2</v>
      </c>
    </row>
    <row r="100" spans="1:15" ht="16" thickBot="1" x14ac:dyDescent="0.25">
      <c r="A100" s="107" t="s">
        <v>55</v>
      </c>
      <c r="B100" s="160">
        <f t="shared" ref="B100:M100" si="53">B91/B92</f>
        <v>2.8207461328480437E-2</v>
      </c>
      <c r="C100" s="158">
        <f t="shared" si="53"/>
        <v>2.488479262672811E-2</v>
      </c>
      <c r="D100" s="159">
        <f t="shared" si="53"/>
        <v>3.7375415282392029E-2</v>
      </c>
      <c r="E100" s="160">
        <f t="shared" si="53"/>
        <v>5.8096415327564897E-2</v>
      </c>
      <c r="F100" s="158">
        <f t="shared" si="53"/>
        <v>7.1702944942381566E-2</v>
      </c>
      <c r="G100" s="159">
        <f t="shared" si="53"/>
        <v>0.10284810126582279</v>
      </c>
      <c r="H100" s="160">
        <f t="shared" si="53"/>
        <v>0.11316397228637413</v>
      </c>
      <c r="I100" s="158">
        <f t="shared" si="53"/>
        <v>0.15587529976019185</v>
      </c>
      <c r="J100" s="159">
        <f t="shared" si="53"/>
        <v>9.8265895953757232E-2</v>
      </c>
      <c r="K100" s="160">
        <f t="shared" si="53"/>
        <v>0.10625</v>
      </c>
      <c r="L100" s="158">
        <f t="shared" si="53"/>
        <v>0.11529411764705882</v>
      </c>
      <c r="M100" s="161">
        <f t="shared" si="53"/>
        <v>5.1194539249146756E-2</v>
      </c>
      <c r="N100" s="189">
        <f t="shared" si="47"/>
        <v>6.5910249872514023E-2</v>
      </c>
    </row>
    <row r="101" spans="1:15" ht="16" thickBot="1" x14ac:dyDescent="0.25">
      <c r="A101" s="96"/>
      <c r="B101" s="237"/>
      <c r="C101" s="238"/>
      <c r="D101" s="238"/>
      <c r="E101" s="237"/>
      <c r="F101" s="238"/>
      <c r="G101" s="238"/>
      <c r="H101" s="237"/>
      <c r="I101" s="238"/>
      <c r="J101" s="238"/>
      <c r="K101" s="237"/>
      <c r="L101" s="238"/>
      <c r="M101" s="239"/>
      <c r="N101" s="168"/>
    </row>
    <row r="102" spans="1:15" ht="16" thickBot="1" x14ac:dyDescent="0.25">
      <c r="A102" s="99" t="s">
        <v>57</v>
      </c>
      <c r="B102" s="120">
        <v>44927</v>
      </c>
      <c r="C102" s="121">
        <v>44958</v>
      </c>
      <c r="D102" s="122">
        <v>44986</v>
      </c>
      <c r="E102" s="120">
        <v>45017</v>
      </c>
      <c r="F102" s="121">
        <v>45047</v>
      </c>
      <c r="G102" s="122">
        <v>45078</v>
      </c>
      <c r="H102" s="120">
        <v>45108</v>
      </c>
      <c r="I102" s="121">
        <v>45139</v>
      </c>
      <c r="J102" s="122">
        <v>45170</v>
      </c>
      <c r="K102" s="120">
        <v>45200</v>
      </c>
      <c r="L102" s="121">
        <v>45231</v>
      </c>
      <c r="M102" s="123">
        <v>45261</v>
      </c>
      <c r="N102" s="406" t="s">
        <v>24</v>
      </c>
    </row>
    <row r="103" spans="1:15" x14ac:dyDescent="0.2">
      <c r="A103" s="105" t="s">
        <v>58</v>
      </c>
      <c r="B103" s="141">
        <v>822</v>
      </c>
      <c r="C103" s="142">
        <v>863</v>
      </c>
      <c r="D103" s="143">
        <f>73+871</f>
        <v>944</v>
      </c>
      <c r="E103" s="141">
        <v>618</v>
      </c>
      <c r="F103" s="142">
        <v>592</v>
      </c>
      <c r="G103" s="143">
        <v>468</v>
      </c>
      <c r="H103" s="141">
        <v>300</v>
      </c>
      <c r="I103" s="142">
        <v>304</v>
      </c>
      <c r="J103" s="143">
        <v>248</v>
      </c>
      <c r="K103" s="141">
        <v>222</v>
      </c>
      <c r="L103" s="142">
        <f>71+232</f>
        <v>303</v>
      </c>
      <c r="M103" s="169">
        <v>225</v>
      </c>
      <c r="N103" s="397">
        <f>SUM(B103:M103)</f>
        <v>5909</v>
      </c>
      <c r="O103" s="3"/>
    </row>
    <row r="104" spans="1:15" x14ac:dyDescent="0.2">
      <c r="A104" s="103" t="s">
        <v>59</v>
      </c>
      <c r="B104" s="146">
        <v>262</v>
      </c>
      <c r="C104" s="109">
        <v>208</v>
      </c>
      <c r="D104" s="147">
        <f>229+16</f>
        <v>245</v>
      </c>
      <c r="E104" s="146">
        <v>117</v>
      </c>
      <c r="F104" s="109">
        <v>166</v>
      </c>
      <c r="G104" s="147">
        <v>135</v>
      </c>
      <c r="H104" s="146">
        <v>112</v>
      </c>
      <c r="I104" s="109">
        <v>78</v>
      </c>
      <c r="J104" s="147">
        <v>86</v>
      </c>
      <c r="K104" s="146">
        <v>90</v>
      </c>
      <c r="L104" s="109">
        <f>84+14</f>
        <v>98</v>
      </c>
      <c r="M104" s="154">
        <v>61</v>
      </c>
      <c r="N104" s="153">
        <f t="shared" ref="N104:N107" si="54">SUM(B104:M104)</f>
        <v>1658</v>
      </c>
      <c r="O104" s="3"/>
    </row>
    <row r="105" spans="1:15" x14ac:dyDescent="0.2">
      <c r="A105" s="103" t="s">
        <v>60</v>
      </c>
      <c r="B105" s="146">
        <v>3</v>
      </c>
      <c r="C105" s="109">
        <v>9</v>
      </c>
      <c r="D105" s="147">
        <v>6</v>
      </c>
      <c r="E105" s="146">
        <v>6</v>
      </c>
      <c r="F105" s="109">
        <v>5</v>
      </c>
      <c r="G105" s="147">
        <v>4</v>
      </c>
      <c r="H105" s="146">
        <v>7</v>
      </c>
      <c r="I105" s="109">
        <v>3</v>
      </c>
      <c r="J105" s="147">
        <v>4</v>
      </c>
      <c r="K105" s="146">
        <v>3</v>
      </c>
      <c r="L105" s="109">
        <v>4</v>
      </c>
      <c r="M105" s="154">
        <v>2</v>
      </c>
      <c r="N105" s="153">
        <f t="shared" si="54"/>
        <v>56</v>
      </c>
      <c r="O105" s="3"/>
    </row>
    <row r="106" spans="1:15" ht="16" thickBot="1" x14ac:dyDescent="0.25">
      <c r="A106" s="106" t="s">
        <v>55</v>
      </c>
      <c r="B106" s="129">
        <v>25</v>
      </c>
      <c r="C106" s="130">
        <v>15</v>
      </c>
      <c r="D106" s="131">
        <v>19</v>
      </c>
      <c r="E106" s="129">
        <v>20</v>
      </c>
      <c r="F106" s="130">
        <v>29</v>
      </c>
      <c r="G106" s="131">
        <v>30</v>
      </c>
      <c r="H106" s="129">
        <v>17</v>
      </c>
      <c r="I106" s="130">
        <v>33</v>
      </c>
      <c r="J106" s="131">
        <v>17</v>
      </c>
      <c r="K106" s="129">
        <v>11</v>
      </c>
      <c r="L106" s="130">
        <v>22</v>
      </c>
      <c r="M106" s="132">
        <v>7</v>
      </c>
      <c r="N106" s="133">
        <f t="shared" si="54"/>
        <v>245</v>
      </c>
      <c r="O106" s="3"/>
    </row>
    <row r="107" spans="1:15" ht="16" thickBot="1" x14ac:dyDescent="0.25">
      <c r="A107" s="99" t="s">
        <v>24</v>
      </c>
      <c r="B107" s="139">
        <f t="shared" ref="B107:M107" si="55">SUM(B103:B106)</f>
        <v>1112</v>
      </c>
      <c r="C107" s="137">
        <f t="shared" si="55"/>
        <v>1095</v>
      </c>
      <c r="D107" s="138">
        <f t="shared" si="55"/>
        <v>1214</v>
      </c>
      <c r="E107" s="139">
        <f t="shared" si="55"/>
        <v>761</v>
      </c>
      <c r="F107" s="137">
        <f t="shared" si="55"/>
        <v>792</v>
      </c>
      <c r="G107" s="138">
        <f t="shared" si="55"/>
        <v>637</v>
      </c>
      <c r="H107" s="139">
        <f t="shared" si="55"/>
        <v>436</v>
      </c>
      <c r="I107" s="137">
        <f t="shared" si="55"/>
        <v>418</v>
      </c>
      <c r="J107" s="138">
        <f t="shared" si="55"/>
        <v>355</v>
      </c>
      <c r="K107" s="139">
        <f t="shared" si="55"/>
        <v>326</v>
      </c>
      <c r="L107" s="137">
        <f t="shared" si="55"/>
        <v>427</v>
      </c>
      <c r="M107" s="140">
        <f t="shared" si="55"/>
        <v>295</v>
      </c>
      <c r="N107" s="406">
        <f t="shared" si="54"/>
        <v>7868</v>
      </c>
    </row>
    <row r="108" spans="1:15" x14ac:dyDescent="0.2">
      <c r="A108" s="105" t="s">
        <v>17</v>
      </c>
      <c r="B108" s="181"/>
      <c r="C108" s="182"/>
      <c r="D108" s="183"/>
      <c r="E108" s="181"/>
      <c r="F108" s="182"/>
      <c r="G108" s="183"/>
      <c r="H108" s="181"/>
      <c r="I108" s="182"/>
      <c r="J108" s="183"/>
      <c r="K108" s="181"/>
      <c r="L108" s="182"/>
      <c r="M108" s="184"/>
      <c r="N108" s="397"/>
    </row>
    <row r="109" spans="1:15" x14ac:dyDescent="0.2">
      <c r="A109" s="103" t="s">
        <v>58</v>
      </c>
      <c r="B109" s="172">
        <f t="shared" ref="B109:M109" si="56">B103/B107</f>
        <v>0.73920863309352514</v>
      </c>
      <c r="C109" s="170">
        <f t="shared" si="56"/>
        <v>0.78812785388127848</v>
      </c>
      <c r="D109" s="171">
        <f t="shared" si="56"/>
        <v>0.77759472817133446</v>
      </c>
      <c r="E109" s="172">
        <f t="shared" si="56"/>
        <v>0.81208935611038102</v>
      </c>
      <c r="F109" s="170">
        <f t="shared" si="56"/>
        <v>0.74747474747474751</v>
      </c>
      <c r="G109" s="171">
        <f t="shared" si="56"/>
        <v>0.73469387755102045</v>
      </c>
      <c r="H109" s="172">
        <f t="shared" si="56"/>
        <v>0.68807339449541283</v>
      </c>
      <c r="I109" s="170">
        <f t="shared" si="56"/>
        <v>0.72727272727272729</v>
      </c>
      <c r="J109" s="171">
        <f t="shared" si="56"/>
        <v>0.69859154929577461</v>
      </c>
      <c r="K109" s="172">
        <f t="shared" si="56"/>
        <v>0.68098159509202449</v>
      </c>
      <c r="L109" s="170">
        <f t="shared" si="56"/>
        <v>0.70960187353629978</v>
      </c>
      <c r="M109" s="173">
        <f t="shared" si="56"/>
        <v>0.76271186440677963</v>
      </c>
      <c r="N109" s="188">
        <f>N103/N$107</f>
        <v>0.75101677681748857</v>
      </c>
    </row>
    <row r="110" spans="1:15" x14ac:dyDescent="0.2">
      <c r="A110" s="103" t="s">
        <v>59</v>
      </c>
      <c r="B110" s="172">
        <f t="shared" ref="B110:M110" si="57">B104/B107</f>
        <v>0.23561151079136691</v>
      </c>
      <c r="C110" s="170">
        <f t="shared" si="57"/>
        <v>0.18995433789954339</v>
      </c>
      <c r="D110" s="171">
        <f t="shared" si="57"/>
        <v>0.20181219110378912</v>
      </c>
      <c r="E110" s="172">
        <f t="shared" si="57"/>
        <v>0.15374507227332457</v>
      </c>
      <c r="F110" s="170">
        <f t="shared" si="57"/>
        <v>0.20959595959595959</v>
      </c>
      <c r="G110" s="171">
        <f t="shared" si="57"/>
        <v>0.2119309262166405</v>
      </c>
      <c r="H110" s="172">
        <f t="shared" si="57"/>
        <v>0.25688073394495414</v>
      </c>
      <c r="I110" s="170">
        <f t="shared" si="57"/>
        <v>0.18660287081339713</v>
      </c>
      <c r="J110" s="171">
        <f t="shared" si="57"/>
        <v>0.24225352112676057</v>
      </c>
      <c r="K110" s="172">
        <f t="shared" si="57"/>
        <v>0.27607361963190186</v>
      </c>
      <c r="L110" s="170">
        <f t="shared" si="57"/>
        <v>0.22950819672131148</v>
      </c>
      <c r="M110" s="173">
        <f t="shared" si="57"/>
        <v>0.20677966101694914</v>
      </c>
      <c r="N110" s="188">
        <f>N104/N$107</f>
        <v>0.21072699542450432</v>
      </c>
    </row>
    <row r="111" spans="1:15" x14ac:dyDescent="0.2">
      <c r="A111" s="103" t="s">
        <v>60</v>
      </c>
      <c r="B111" s="172">
        <f t="shared" ref="B111:M111" si="58">B105/B107</f>
        <v>2.6978417266187052E-3</v>
      </c>
      <c r="C111" s="170">
        <f t="shared" si="58"/>
        <v>8.21917808219178E-3</v>
      </c>
      <c r="D111" s="171">
        <f t="shared" si="58"/>
        <v>4.9423393739703456E-3</v>
      </c>
      <c r="E111" s="172">
        <f t="shared" si="58"/>
        <v>7.8843626806833107E-3</v>
      </c>
      <c r="F111" s="170">
        <f t="shared" si="58"/>
        <v>6.313131313131313E-3</v>
      </c>
      <c r="G111" s="171">
        <f t="shared" si="58"/>
        <v>6.2794348508634227E-3</v>
      </c>
      <c r="H111" s="172">
        <f t="shared" si="58"/>
        <v>1.6055045871559634E-2</v>
      </c>
      <c r="I111" s="170">
        <f t="shared" si="58"/>
        <v>7.1770334928229667E-3</v>
      </c>
      <c r="J111" s="171">
        <f t="shared" si="58"/>
        <v>1.1267605633802818E-2</v>
      </c>
      <c r="K111" s="172">
        <f t="shared" si="58"/>
        <v>9.202453987730062E-3</v>
      </c>
      <c r="L111" s="170">
        <f t="shared" si="58"/>
        <v>9.3676814988290398E-3</v>
      </c>
      <c r="M111" s="173">
        <f t="shared" si="58"/>
        <v>6.7796610169491523E-3</v>
      </c>
      <c r="N111" s="188">
        <f>N105/N$107</f>
        <v>7.1174377224199285E-3</v>
      </c>
    </row>
    <row r="112" spans="1:15" ht="16" thickBot="1" x14ac:dyDescent="0.25">
      <c r="A112" s="107" t="s">
        <v>55</v>
      </c>
      <c r="B112" s="160">
        <f t="shared" ref="B112:M112" si="59">B106/B107</f>
        <v>2.2482014388489208E-2</v>
      </c>
      <c r="C112" s="158">
        <f t="shared" si="59"/>
        <v>1.3698630136986301E-2</v>
      </c>
      <c r="D112" s="159">
        <f t="shared" si="59"/>
        <v>1.5650741350906095E-2</v>
      </c>
      <c r="E112" s="160">
        <f t="shared" si="59"/>
        <v>2.6281208935611037E-2</v>
      </c>
      <c r="F112" s="158">
        <f t="shared" si="59"/>
        <v>3.6616161616161616E-2</v>
      </c>
      <c r="G112" s="159">
        <f t="shared" si="59"/>
        <v>4.709576138147567E-2</v>
      </c>
      <c r="H112" s="160">
        <f t="shared" si="59"/>
        <v>3.8990825688073397E-2</v>
      </c>
      <c r="I112" s="158">
        <f t="shared" si="59"/>
        <v>7.8947368421052627E-2</v>
      </c>
      <c r="J112" s="159">
        <f t="shared" si="59"/>
        <v>4.788732394366197E-2</v>
      </c>
      <c r="K112" s="160">
        <f t="shared" si="59"/>
        <v>3.3742331288343558E-2</v>
      </c>
      <c r="L112" s="158">
        <f t="shared" si="59"/>
        <v>5.1522248243559721E-2</v>
      </c>
      <c r="M112" s="161">
        <f t="shared" si="59"/>
        <v>2.3728813559322035E-2</v>
      </c>
      <c r="N112" s="189">
        <f>N106/N$107</f>
        <v>3.1138790035587189E-2</v>
      </c>
    </row>
    <row r="113" spans="1:15" ht="16" thickBot="1" x14ac:dyDescent="0.25">
      <c r="A113" s="96"/>
      <c r="B113" s="237"/>
      <c r="C113" s="238"/>
      <c r="D113" s="238"/>
      <c r="E113" s="237"/>
      <c r="F113" s="238"/>
      <c r="G113" s="238"/>
      <c r="H113" s="237"/>
      <c r="I113" s="238"/>
      <c r="J113" s="238"/>
      <c r="K113" s="237"/>
      <c r="L113" s="238"/>
      <c r="M113" s="239"/>
      <c r="N113" s="168"/>
    </row>
    <row r="114" spans="1:15" ht="16" thickBot="1" x14ac:dyDescent="0.25">
      <c r="A114" s="99" t="s">
        <v>61</v>
      </c>
      <c r="B114" s="120">
        <v>44927</v>
      </c>
      <c r="C114" s="121">
        <v>44958</v>
      </c>
      <c r="D114" s="122">
        <v>44986</v>
      </c>
      <c r="E114" s="120">
        <v>45017</v>
      </c>
      <c r="F114" s="121">
        <v>45047</v>
      </c>
      <c r="G114" s="122">
        <v>45078</v>
      </c>
      <c r="H114" s="120">
        <v>45108</v>
      </c>
      <c r="I114" s="121">
        <v>45139</v>
      </c>
      <c r="J114" s="122">
        <v>45170</v>
      </c>
      <c r="K114" s="120">
        <v>45200</v>
      </c>
      <c r="L114" s="121">
        <v>45231</v>
      </c>
      <c r="M114" s="123">
        <v>45261</v>
      </c>
      <c r="N114" s="406" t="s">
        <v>24</v>
      </c>
    </row>
    <row r="115" spans="1:15" x14ac:dyDescent="0.2">
      <c r="A115" s="105" t="s">
        <v>62</v>
      </c>
      <c r="B115" s="141">
        <v>3</v>
      </c>
      <c r="C115" s="142">
        <v>2</v>
      </c>
      <c r="D115" s="143">
        <v>6</v>
      </c>
      <c r="E115" s="141">
        <v>6</v>
      </c>
      <c r="F115" s="142">
        <v>4</v>
      </c>
      <c r="G115" s="143">
        <v>4</v>
      </c>
      <c r="H115" s="141">
        <v>5</v>
      </c>
      <c r="I115" s="142">
        <v>2</v>
      </c>
      <c r="J115" s="143">
        <v>1</v>
      </c>
      <c r="K115" s="141">
        <v>3</v>
      </c>
      <c r="L115" s="142">
        <v>2</v>
      </c>
      <c r="M115" s="169">
        <v>3</v>
      </c>
      <c r="N115" s="397">
        <f>SUM(B115:M115)</f>
        <v>41</v>
      </c>
      <c r="O115" s="3"/>
    </row>
    <row r="116" spans="1:15" x14ac:dyDescent="0.2">
      <c r="A116" s="103" t="s">
        <v>63</v>
      </c>
      <c r="B116" s="146">
        <v>99</v>
      </c>
      <c r="C116" s="109">
        <v>140</v>
      </c>
      <c r="D116" s="147">
        <f>10+141</f>
        <v>151</v>
      </c>
      <c r="E116" s="146">
        <v>106</v>
      </c>
      <c r="F116" s="109">
        <v>103</v>
      </c>
      <c r="G116" s="147">
        <v>89</v>
      </c>
      <c r="H116" s="146">
        <v>63</v>
      </c>
      <c r="I116" s="109">
        <v>68</v>
      </c>
      <c r="J116" s="147">
        <v>52</v>
      </c>
      <c r="K116" s="146">
        <v>42</v>
      </c>
      <c r="L116" s="109">
        <f>33+17</f>
        <v>50</v>
      </c>
      <c r="M116" s="154">
        <f>14+39</f>
        <v>53</v>
      </c>
      <c r="N116" s="153">
        <f t="shared" ref="N116:N123" si="60">SUM(B116:M116)</f>
        <v>1016</v>
      </c>
      <c r="O116" s="3"/>
    </row>
    <row r="117" spans="1:15" x14ac:dyDescent="0.2">
      <c r="A117" s="103" t="s">
        <v>64</v>
      </c>
      <c r="B117" s="146">
        <v>125</v>
      </c>
      <c r="C117" s="109">
        <v>142</v>
      </c>
      <c r="D117" s="147">
        <f>223+19</f>
        <v>242</v>
      </c>
      <c r="E117" s="146">
        <v>171</v>
      </c>
      <c r="F117" s="109">
        <v>150</v>
      </c>
      <c r="G117" s="147">
        <v>120</v>
      </c>
      <c r="H117" s="146">
        <v>86</v>
      </c>
      <c r="I117" s="109">
        <v>79</v>
      </c>
      <c r="J117" s="147">
        <v>75</v>
      </c>
      <c r="K117" s="146">
        <v>66</v>
      </c>
      <c r="L117" s="109">
        <f>59+16</f>
        <v>75</v>
      </c>
      <c r="M117" s="154">
        <f>36+14+8</f>
        <v>58</v>
      </c>
      <c r="N117" s="153">
        <f t="shared" si="60"/>
        <v>1389</v>
      </c>
      <c r="O117" s="3"/>
    </row>
    <row r="118" spans="1:15" x14ac:dyDescent="0.2">
      <c r="A118" s="103" t="s">
        <v>65</v>
      </c>
      <c r="B118" s="146">
        <v>93</v>
      </c>
      <c r="C118" s="109">
        <v>124</v>
      </c>
      <c r="D118" s="147">
        <f>159+11</f>
        <v>170</v>
      </c>
      <c r="E118" s="146">
        <v>114</v>
      </c>
      <c r="F118" s="109">
        <v>143</v>
      </c>
      <c r="G118" s="147">
        <v>112</v>
      </c>
      <c r="H118" s="146">
        <v>60</v>
      </c>
      <c r="I118" s="109">
        <v>64</v>
      </c>
      <c r="J118" s="147">
        <v>57</v>
      </c>
      <c r="K118" s="146">
        <v>47</v>
      </c>
      <c r="L118" s="109">
        <f>47+18</f>
        <v>65</v>
      </c>
      <c r="M118" s="154">
        <f>38+9+13</f>
        <v>60</v>
      </c>
      <c r="N118" s="153">
        <f t="shared" si="60"/>
        <v>1109</v>
      </c>
      <c r="O118" s="3"/>
    </row>
    <row r="119" spans="1:15" x14ac:dyDescent="0.2">
      <c r="A119" s="103" t="s">
        <v>66</v>
      </c>
      <c r="B119" s="146">
        <v>89</v>
      </c>
      <c r="C119" s="109">
        <v>118</v>
      </c>
      <c r="D119" s="147">
        <f>98+8</f>
        <v>106</v>
      </c>
      <c r="E119" s="146">
        <v>77</v>
      </c>
      <c r="F119" s="109">
        <v>109</v>
      </c>
      <c r="G119" s="147">
        <v>89</v>
      </c>
      <c r="H119" s="146">
        <v>71</v>
      </c>
      <c r="I119" s="109">
        <v>61</v>
      </c>
      <c r="J119" s="147">
        <v>39</v>
      </c>
      <c r="K119" s="146">
        <v>42</v>
      </c>
      <c r="L119" s="109">
        <v>37</v>
      </c>
      <c r="M119" s="154">
        <f>25+13+14</f>
        <v>52</v>
      </c>
      <c r="N119" s="153">
        <f t="shared" si="60"/>
        <v>890</v>
      </c>
      <c r="O119" s="3"/>
    </row>
    <row r="120" spans="1:15" x14ac:dyDescent="0.2">
      <c r="A120" s="103" t="s">
        <v>67</v>
      </c>
      <c r="B120" s="146">
        <v>12</v>
      </c>
      <c r="C120" s="109">
        <v>14</v>
      </c>
      <c r="D120" s="147">
        <v>29</v>
      </c>
      <c r="E120" s="146">
        <v>15</v>
      </c>
      <c r="F120" s="109">
        <v>17</v>
      </c>
      <c r="G120" s="147">
        <v>23</v>
      </c>
      <c r="H120" s="146">
        <v>8</v>
      </c>
      <c r="I120" s="109">
        <v>12</v>
      </c>
      <c r="J120" s="147">
        <v>11</v>
      </c>
      <c r="K120" s="146">
        <v>11</v>
      </c>
      <c r="L120" s="109">
        <v>10</v>
      </c>
      <c r="M120" s="154">
        <f>9+13+9</f>
        <v>31</v>
      </c>
      <c r="N120" s="153">
        <f t="shared" si="60"/>
        <v>193</v>
      </c>
      <c r="O120" s="3"/>
    </row>
    <row r="121" spans="1:15" x14ac:dyDescent="0.2">
      <c r="A121" s="103" t="s">
        <v>68</v>
      </c>
      <c r="B121" s="146"/>
      <c r="C121" s="109"/>
      <c r="D121" s="147"/>
      <c r="E121" s="146">
        <v>1</v>
      </c>
      <c r="F121" s="109">
        <v>2</v>
      </c>
      <c r="G121" s="147">
        <v>1</v>
      </c>
      <c r="H121" s="146">
        <v>1</v>
      </c>
      <c r="I121" s="109">
        <v>3</v>
      </c>
      <c r="J121" s="147">
        <v>1</v>
      </c>
      <c r="K121" s="146"/>
      <c r="L121" s="109"/>
      <c r="M121" s="154"/>
      <c r="N121" s="153">
        <f t="shared" si="60"/>
        <v>9</v>
      </c>
      <c r="O121" s="3"/>
    </row>
    <row r="122" spans="1:15" ht="16" thickBot="1" x14ac:dyDescent="0.25">
      <c r="A122" s="106" t="s">
        <v>31</v>
      </c>
      <c r="B122" s="129">
        <v>691</v>
      </c>
      <c r="C122" s="130">
        <v>555</v>
      </c>
      <c r="D122" s="131">
        <v>469</v>
      </c>
      <c r="E122" s="129">
        <v>331</v>
      </c>
      <c r="F122" s="130">
        <v>264</v>
      </c>
      <c r="G122" s="131">
        <v>199</v>
      </c>
      <c r="H122" s="129">
        <v>142</v>
      </c>
      <c r="I122" s="130">
        <v>129</v>
      </c>
      <c r="J122" s="131">
        <v>119</v>
      </c>
      <c r="K122" s="129">
        <v>115</v>
      </c>
      <c r="L122" s="130">
        <v>188</v>
      </c>
      <c r="M122" s="132">
        <v>38</v>
      </c>
      <c r="N122" s="133">
        <f t="shared" si="60"/>
        <v>3240</v>
      </c>
      <c r="O122" s="3"/>
    </row>
    <row r="123" spans="1:15" ht="16" thickBot="1" x14ac:dyDescent="0.25">
      <c r="A123" s="99" t="s">
        <v>24</v>
      </c>
      <c r="B123" s="139">
        <f t="shared" ref="B123:M123" si="61">SUM(B115:B122)</f>
        <v>1112</v>
      </c>
      <c r="C123" s="137">
        <f t="shared" si="61"/>
        <v>1095</v>
      </c>
      <c r="D123" s="138">
        <f t="shared" si="61"/>
        <v>1173</v>
      </c>
      <c r="E123" s="139">
        <f t="shared" si="61"/>
        <v>821</v>
      </c>
      <c r="F123" s="137">
        <f t="shared" si="61"/>
        <v>792</v>
      </c>
      <c r="G123" s="138">
        <f t="shared" si="61"/>
        <v>637</v>
      </c>
      <c r="H123" s="139">
        <f t="shared" si="61"/>
        <v>436</v>
      </c>
      <c r="I123" s="137">
        <f t="shared" si="61"/>
        <v>418</v>
      </c>
      <c r="J123" s="138">
        <f t="shared" si="61"/>
        <v>355</v>
      </c>
      <c r="K123" s="139">
        <f t="shared" si="61"/>
        <v>326</v>
      </c>
      <c r="L123" s="137">
        <f t="shared" si="61"/>
        <v>427</v>
      </c>
      <c r="M123" s="140">
        <f t="shared" si="61"/>
        <v>295</v>
      </c>
      <c r="N123" s="406">
        <f t="shared" si="60"/>
        <v>7887</v>
      </c>
    </row>
    <row r="124" spans="1:15" x14ac:dyDescent="0.2">
      <c r="A124" s="105" t="s">
        <v>17</v>
      </c>
      <c r="B124" s="181"/>
      <c r="C124" s="182"/>
      <c r="D124" s="183"/>
      <c r="E124" s="181"/>
      <c r="F124" s="182"/>
      <c r="G124" s="183"/>
      <c r="H124" s="181"/>
      <c r="I124" s="182"/>
      <c r="J124" s="183"/>
      <c r="K124" s="181"/>
      <c r="L124" s="182"/>
      <c r="M124" s="184"/>
      <c r="N124" s="397"/>
    </row>
    <row r="125" spans="1:15" x14ac:dyDescent="0.2">
      <c r="A125" s="103" t="s">
        <v>62</v>
      </c>
      <c r="B125" s="172">
        <f t="shared" ref="B125:M125" si="62">B115/B123</f>
        <v>2.6978417266187052E-3</v>
      </c>
      <c r="C125" s="170">
        <f t="shared" si="62"/>
        <v>1.8264840182648401E-3</v>
      </c>
      <c r="D125" s="171">
        <f t="shared" si="62"/>
        <v>5.1150895140664966E-3</v>
      </c>
      <c r="E125" s="172">
        <f t="shared" si="62"/>
        <v>7.3081607795371494E-3</v>
      </c>
      <c r="F125" s="170">
        <f t="shared" si="62"/>
        <v>5.0505050505050509E-3</v>
      </c>
      <c r="G125" s="171">
        <f t="shared" si="62"/>
        <v>6.2794348508634227E-3</v>
      </c>
      <c r="H125" s="172">
        <f t="shared" si="62"/>
        <v>1.1467889908256881E-2</v>
      </c>
      <c r="I125" s="170">
        <f t="shared" si="62"/>
        <v>4.7846889952153108E-3</v>
      </c>
      <c r="J125" s="171">
        <f t="shared" si="62"/>
        <v>2.8169014084507044E-3</v>
      </c>
      <c r="K125" s="172">
        <f t="shared" si="62"/>
        <v>9.202453987730062E-3</v>
      </c>
      <c r="L125" s="170">
        <f t="shared" si="62"/>
        <v>4.6838407494145199E-3</v>
      </c>
      <c r="M125" s="173">
        <f t="shared" si="62"/>
        <v>1.0169491525423728E-2</v>
      </c>
      <c r="N125" s="188">
        <f t="shared" ref="N125:N132" si="63">N115/N$123</f>
        <v>5.1984277925700524E-3</v>
      </c>
    </row>
    <row r="126" spans="1:15" x14ac:dyDescent="0.2">
      <c r="A126" s="103" t="s">
        <v>63</v>
      </c>
      <c r="B126" s="172">
        <f t="shared" ref="B126:M126" si="64">B116/B123</f>
        <v>8.9028776978417268E-2</v>
      </c>
      <c r="C126" s="170">
        <f t="shared" si="64"/>
        <v>0.12785388127853881</v>
      </c>
      <c r="D126" s="171">
        <f t="shared" si="64"/>
        <v>0.1287297527706735</v>
      </c>
      <c r="E126" s="172">
        <f t="shared" si="64"/>
        <v>0.12911084043848964</v>
      </c>
      <c r="F126" s="170">
        <f t="shared" si="64"/>
        <v>0.13005050505050506</v>
      </c>
      <c r="G126" s="171">
        <f t="shared" si="64"/>
        <v>0.13971742543171115</v>
      </c>
      <c r="H126" s="172">
        <f t="shared" si="64"/>
        <v>0.14449541284403669</v>
      </c>
      <c r="I126" s="170">
        <f t="shared" si="64"/>
        <v>0.16267942583732056</v>
      </c>
      <c r="J126" s="171">
        <f t="shared" si="64"/>
        <v>0.14647887323943662</v>
      </c>
      <c r="K126" s="172">
        <f t="shared" si="64"/>
        <v>0.12883435582822086</v>
      </c>
      <c r="L126" s="170">
        <f t="shared" si="64"/>
        <v>0.117096018735363</v>
      </c>
      <c r="M126" s="173">
        <f t="shared" si="64"/>
        <v>0.17966101694915254</v>
      </c>
      <c r="N126" s="188">
        <f t="shared" si="63"/>
        <v>0.12881957651832129</v>
      </c>
    </row>
    <row r="127" spans="1:15" x14ac:dyDescent="0.2">
      <c r="A127" s="103" t="s">
        <v>64</v>
      </c>
      <c r="B127" s="172">
        <f t="shared" ref="B127:M127" si="65">B117/B123</f>
        <v>0.11241007194244604</v>
      </c>
      <c r="C127" s="170">
        <f t="shared" si="65"/>
        <v>0.12968036529680366</v>
      </c>
      <c r="D127" s="171">
        <f t="shared" si="65"/>
        <v>0.20630861040068202</v>
      </c>
      <c r="E127" s="172">
        <f t="shared" si="65"/>
        <v>0.20828258221680876</v>
      </c>
      <c r="F127" s="170">
        <f t="shared" si="65"/>
        <v>0.18939393939393939</v>
      </c>
      <c r="G127" s="171">
        <f t="shared" si="65"/>
        <v>0.18838304552590268</v>
      </c>
      <c r="H127" s="172">
        <f t="shared" si="65"/>
        <v>0.19724770642201836</v>
      </c>
      <c r="I127" s="170">
        <f t="shared" si="65"/>
        <v>0.18899521531100477</v>
      </c>
      <c r="J127" s="171">
        <f t="shared" si="65"/>
        <v>0.21126760563380281</v>
      </c>
      <c r="K127" s="172">
        <f t="shared" si="65"/>
        <v>0.20245398773006135</v>
      </c>
      <c r="L127" s="170">
        <f t="shared" si="65"/>
        <v>0.1756440281030445</v>
      </c>
      <c r="M127" s="173">
        <f t="shared" si="65"/>
        <v>0.19661016949152543</v>
      </c>
      <c r="N127" s="188">
        <f t="shared" si="63"/>
        <v>0.17611259033853177</v>
      </c>
    </row>
    <row r="128" spans="1:15" x14ac:dyDescent="0.2">
      <c r="A128" s="103" t="s">
        <v>65</v>
      </c>
      <c r="B128" s="172">
        <f t="shared" ref="B128:M128" si="66">B118/B123</f>
        <v>8.363309352517985E-2</v>
      </c>
      <c r="C128" s="170">
        <f t="shared" si="66"/>
        <v>0.11324200913242009</v>
      </c>
      <c r="D128" s="171">
        <f t="shared" si="66"/>
        <v>0.14492753623188406</v>
      </c>
      <c r="E128" s="172">
        <f t="shared" si="66"/>
        <v>0.13885505481120586</v>
      </c>
      <c r="F128" s="170">
        <f t="shared" si="66"/>
        <v>0.18055555555555555</v>
      </c>
      <c r="G128" s="171">
        <f t="shared" si="66"/>
        <v>0.17582417582417584</v>
      </c>
      <c r="H128" s="172">
        <f t="shared" si="66"/>
        <v>0.13761467889908258</v>
      </c>
      <c r="I128" s="170">
        <f t="shared" si="66"/>
        <v>0.15311004784688995</v>
      </c>
      <c r="J128" s="171">
        <f t="shared" si="66"/>
        <v>0.16056338028169015</v>
      </c>
      <c r="K128" s="172">
        <f t="shared" si="66"/>
        <v>0.14417177914110429</v>
      </c>
      <c r="L128" s="170">
        <f t="shared" si="66"/>
        <v>0.1522248243559719</v>
      </c>
      <c r="M128" s="173">
        <f t="shared" si="66"/>
        <v>0.20338983050847459</v>
      </c>
      <c r="N128" s="188">
        <f t="shared" si="63"/>
        <v>0.1406111322429314</v>
      </c>
    </row>
    <row r="129" spans="1:15" x14ac:dyDescent="0.2">
      <c r="A129" s="103" t="s">
        <v>66</v>
      </c>
      <c r="B129" s="172">
        <f t="shared" ref="B129:M129" si="67">B119/B123</f>
        <v>8.0035971223021585E-2</v>
      </c>
      <c r="C129" s="170">
        <f t="shared" si="67"/>
        <v>0.10776255707762557</v>
      </c>
      <c r="D129" s="171">
        <f t="shared" si="67"/>
        <v>9.0366581415174771E-2</v>
      </c>
      <c r="E129" s="172">
        <f t="shared" si="67"/>
        <v>9.3788063337393424E-2</v>
      </c>
      <c r="F129" s="170">
        <f t="shared" si="67"/>
        <v>0.13762626262626262</v>
      </c>
      <c r="G129" s="171">
        <f t="shared" si="67"/>
        <v>0.13971742543171115</v>
      </c>
      <c r="H129" s="172">
        <f t="shared" si="67"/>
        <v>0.1628440366972477</v>
      </c>
      <c r="I129" s="170">
        <f t="shared" si="67"/>
        <v>0.145933014354067</v>
      </c>
      <c r="J129" s="171">
        <f t="shared" si="67"/>
        <v>0.10985915492957747</v>
      </c>
      <c r="K129" s="172">
        <f t="shared" si="67"/>
        <v>0.12883435582822086</v>
      </c>
      <c r="L129" s="170">
        <f t="shared" si="67"/>
        <v>8.6651053864168617E-2</v>
      </c>
      <c r="M129" s="173">
        <f t="shared" si="67"/>
        <v>0.17627118644067796</v>
      </c>
      <c r="N129" s="188">
        <f t="shared" si="63"/>
        <v>0.11284392037530112</v>
      </c>
    </row>
    <row r="130" spans="1:15" x14ac:dyDescent="0.2">
      <c r="A130" s="103" t="s">
        <v>67</v>
      </c>
      <c r="B130" s="172">
        <f t="shared" ref="B130:M130" si="68">B120/B123</f>
        <v>1.0791366906474821E-2</v>
      </c>
      <c r="C130" s="170">
        <f t="shared" si="68"/>
        <v>1.2785388127853882E-2</v>
      </c>
      <c r="D130" s="171">
        <f t="shared" si="68"/>
        <v>2.4722932651321399E-2</v>
      </c>
      <c r="E130" s="172">
        <f t="shared" si="68"/>
        <v>1.8270401948842874E-2</v>
      </c>
      <c r="F130" s="170">
        <f t="shared" si="68"/>
        <v>2.1464646464646464E-2</v>
      </c>
      <c r="G130" s="171">
        <f t="shared" si="68"/>
        <v>3.6106750392464679E-2</v>
      </c>
      <c r="H130" s="172">
        <f t="shared" si="68"/>
        <v>1.834862385321101E-2</v>
      </c>
      <c r="I130" s="170">
        <f t="shared" si="68"/>
        <v>2.8708133971291867E-2</v>
      </c>
      <c r="J130" s="171">
        <f t="shared" si="68"/>
        <v>3.0985915492957747E-2</v>
      </c>
      <c r="K130" s="172">
        <f t="shared" si="68"/>
        <v>3.3742331288343558E-2</v>
      </c>
      <c r="L130" s="170">
        <f t="shared" si="68"/>
        <v>2.3419203747072601E-2</v>
      </c>
      <c r="M130" s="173">
        <f t="shared" si="68"/>
        <v>0.10508474576271186</v>
      </c>
      <c r="N130" s="188">
        <f t="shared" si="63"/>
        <v>2.4470647901610246E-2</v>
      </c>
    </row>
    <row r="131" spans="1:15" x14ac:dyDescent="0.2">
      <c r="A131" s="103" t="s">
        <v>68</v>
      </c>
      <c r="B131" s="172">
        <f t="shared" ref="B131:M131" si="69">B121/B123</f>
        <v>0</v>
      </c>
      <c r="C131" s="170">
        <f t="shared" si="69"/>
        <v>0</v>
      </c>
      <c r="D131" s="171">
        <f t="shared" si="69"/>
        <v>0</v>
      </c>
      <c r="E131" s="172">
        <f t="shared" si="69"/>
        <v>1.2180267965895249E-3</v>
      </c>
      <c r="F131" s="170">
        <f t="shared" si="69"/>
        <v>2.5252525252525255E-3</v>
      </c>
      <c r="G131" s="171">
        <f t="shared" si="69"/>
        <v>1.5698587127158557E-3</v>
      </c>
      <c r="H131" s="172">
        <f t="shared" si="69"/>
        <v>2.2935779816513763E-3</v>
      </c>
      <c r="I131" s="170">
        <f t="shared" si="69"/>
        <v>7.1770334928229667E-3</v>
      </c>
      <c r="J131" s="171">
        <f t="shared" si="69"/>
        <v>2.8169014084507044E-3</v>
      </c>
      <c r="K131" s="172">
        <f t="shared" si="69"/>
        <v>0</v>
      </c>
      <c r="L131" s="170">
        <f t="shared" si="69"/>
        <v>0</v>
      </c>
      <c r="M131" s="173">
        <f t="shared" si="69"/>
        <v>0</v>
      </c>
      <c r="N131" s="188">
        <f t="shared" si="63"/>
        <v>1.1411182959300114E-3</v>
      </c>
    </row>
    <row r="132" spans="1:15" ht="16" thickBot="1" x14ac:dyDescent="0.25">
      <c r="A132" s="107" t="s">
        <v>31</v>
      </c>
      <c r="B132" s="160">
        <f t="shared" ref="B132:M132" si="70">B122/B123</f>
        <v>0.62140287769784175</v>
      </c>
      <c r="C132" s="158">
        <f t="shared" si="70"/>
        <v>0.50684931506849318</v>
      </c>
      <c r="D132" s="159">
        <f t="shared" si="70"/>
        <v>0.3998294970161978</v>
      </c>
      <c r="E132" s="160">
        <f t="shared" si="70"/>
        <v>0.40316686967113274</v>
      </c>
      <c r="F132" s="158">
        <f t="shared" si="70"/>
        <v>0.33333333333333331</v>
      </c>
      <c r="G132" s="159">
        <f t="shared" si="70"/>
        <v>0.31240188383045525</v>
      </c>
      <c r="H132" s="160">
        <f t="shared" si="70"/>
        <v>0.3256880733944954</v>
      </c>
      <c r="I132" s="158">
        <f t="shared" si="70"/>
        <v>0.30861244019138756</v>
      </c>
      <c r="J132" s="159">
        <f t="shared" si="70"/>
        <v>0.3352112676056338</v>
      </c>
      <c r="K132" s="160">
        <f t="shared" si="70"/>
        <v>0.35276073619631904</v>
      </c>
      <c r="L132" s="158">
        <f t="shared" si="70"/>
        <v>0.44028103044496486</v>
      </c>
      <c r="M132" s="161">
        <f t="shared" si="70"/>
        <v>0.12881355932203389</v>
      </c>
      <c r="N132" s="189">
        <f t="shared" si="63"/>
        <v>0.41080258653480412</v>
      </c>
    </row>
    <row r="133" spans="1:15" x14ac:dyDescent="0.2">
      <c r="A133" s="44"/>
      <c r="B133" s="241"/>
      <c r="C133" s="108"/>
      <c r="D133" s="108"/>
      <c r="E133" s="241"/>
      <c r="F133" s="108"/>
      <c r="G133" s="108"/>
      <c r="H133" s="241"/>
      <c r="I133" s="108"/>
      <c r="J133" s="108"/>
      <c r="K133" s="241"/>
      <c r="L133" s="108"/>
      <c r="M133" s="168"/>
      <c r="N133" s="168"/>
    </row>
    <row r="134" spans="1:15" ht="16" thickBot="1" x14ac:dyDescent="0.25">
      <c r="A134" s="96"/>
      <c r="B134" s="237"/>
      <c r="C134" s="238"/>
      <c r="D134" s="238"/>
      <c r="E134" s="237"/>
      <c r="F134" s="238"/>
      <c r="G134" s="238"/>
      <c r="H134" s="237"/>
      <c r="I134" s="238"/>
      <c r="J134" s="238"/>
      <c r="K134" s="237"/>
      <c r="L134" s="238"/>
      <c r="M134" s="239"/>
      <c r="N134" s="168"/>
    </row>
    <row r="135" spans="1:15" ht="16" thickBot="1" x14ac:dyDescent="0.25">
      <c r="A135" s="101" t="s">
        <v>69</v>
      </c>
      <c r="B135" s="242"/>
      <c r="C135" s="243"/>
      <c r="D135" s="243"/>
      <c r="E135" s="242"/>
      <c r="F135" s="243"/>
      <c r="G135" s="243"/>
      <c r="H135" s="242"/>
      <c r="I135" s="243"/>
      <c r="J135" s="243"/>
      <c r="K135" s="242"/>
      <c r="L135" s="243"/>
      <c r="M135" s="194"/>
      <c r="N135" s="194"/>
    </row>
    <row r="136" spans="1:15" ht="16" thickBot="1" x14ac:dyDescent="0.25">
      <c r="A136" s="99" t="s">
        <v>70</v>
      </c>
      <c r="B136" s="120">
        <v>44927</v>
      </c>
      <c r="C136" s="121">
        <v>44958</v>
      </c>
      <c r="D136" s="122">
        <v>44986</v>
      </c>
      <c r="E136" s="120">
        <v>45017</v>
      </c>
      <c r="F136" s="121">
        <v>45047</v>
      </c>
      <c r="G136" s="122">
        <v>45078</v>
      </c>
      <c r="H136" s="120">
        <v>45108</v>
      </c>
      <c r="I136" s="121">
        <v>45139</v>
      </c>
      <c r="J136" s="122">
        <v>45170</v>
      </c>
      <c r="K136" s="120">
        <v>45200</v>
      </c>
      <c r="L136" s="121">
        <v>45231</v>
      </c>
      <c r="M136" s="123">
        <v>45261</v>
      </c>
      <c r="N136" s="406" t="s">
        <v>24</v>
      </c>
    </row>
    <row r="137" spans="1:15" x14ac:dyDescent="0.2">
      <c r="A137" s="105" t="s">
        <v>71</v>
      </c>
      <c r="B137" s="141">
        <v>436</v>
      </c>
      <c r="C137" s="142">
        <v>474</v>
      </c>
      <c r="D137" s="143">
        <f>41+551</f>
        <v>592</v>
      </c>
      <c r="E137" s="141">
        <v>375</v>
      </c>
      <c r="F137" s="142">
        <v>379</v>
      </c>
      <c r="G137" s="143">
        <v>287</v>
      </c>
      <c r="H137" s="141">
        <v>203</v>
      </c>
      <c r="I137" s="142">
        <v>178</v>
      </c>
      <c r="J137" s="143">
        <v>165</v>
      </c>
      <c r="K137" s="141">
        <v>142</v>
      </c>
      <c r="L137" s="142">
        <f>161+46</f>
        <v>207</v>
      </c>
      <c r="M137" s="169">
        <v>132</v>
      </c>
      <c r="N137" s="397">
        <f>SUM(B137:M137)</f>
        <v>3570</v>
      </c>
      <c r="O137" s="3"/>
    </row>
    <row r="138" spans="1:15" x14ac:dyDescent="0.2">
      <c r="A138" s="103" t="s">
        <v>72</v>
      </c>
      <c r="B138" s="146">
        <v>637</v>
      </c>
      <c r="C138" s="109">
        <v>607</v>
      </c>
      <c r="D138" s="147">
        <f>49+577</f>
        <v>626</v>
      </c>
      <c r="E138" s="146">
        <v>410</v>
      </c>
      <c r="F138" s="109">
        <v>372</v>
      </c>
      <c r="G138" s="147">
        <v>311</v>
      </c>
      <c r="H138" s="146">
        <v>174</v>
      </c>
      <c r="I138" s="109">
        <v>181</v>
      </c>
      <c r="J138" s="147">
        <v>156</v>
      </c>
      <c r="K138" s="146">
        <v>150</v>
      </c>
      <c r="L138" s="109">
        <f>141+43</f>
        <v>184</v>
      </c>
      <c r="M138" s="154">
        <v>137</v>
      </c>
      <c r="N138" s="153">
        <f t="shared" ref="N138:N141" si="71">SUM(B138:M138)</f>
        <v>3945</v>
      </c>
      <c r="O138" s="3"/>
    </row>
    <row r="139" spans="1:15" x14ac:dyDescent="0.2">
      <c r="A139" s="103" t="s">
        <v>30</v>
      </c>
      <c r="B139" s="146">
        <v>2</v>
      </c>
      <c r="C139" s="109"/>
      <c r="D139" s="147"/>
      <c r="E139" s="146"/>
      <c r="F139" s="109"/>
      <c r="G139" s="147"/>
      <c r="H139" s="146"/>
      <c r="I139" s="109"/>
      <c r="J139" s="147"/>
      <c r="K139" s="146"/>
      <c r="L139" s="109"/>
      <c r="M139" s="154"/>
      <c r="N139" s="153">
        <f t="shared" si="71"/>
        <v>2</v>
      </c>
      <c r="O139" s="3"/>
    </row>
    <row r="140" spans="1:15" ht="16" thickBot="1" x14ac:dyDescent="0.25">
      <c r="A140" s="106" t="s">
        <v>55</v>
      </c>
      <c r="B140" s="129">
        <v>37</v>
      </c>
      <c r="C140" s="130">
        <v>14</v>
      </c>
      <c r="D140" s="131">
        <v>36</v>
      </c>
      <c r="E140" s="129">
        <v>36</v>
      </c>
      <c r="F140" s="130">
        <v>41</v>
      </c>
      <c r="G140" s="131">
        <v>39</v>
      </c>
      <c r="H140" s="129">
        <v>60</v>
      </c>
      <c r="I140" s="130">
        <v>59</v>
      </c>
      <c r="J140" s="131">
        <v>34</v>
      </c>
      <c r="K140" s="129">
        <v>34</v>
      </c>
      <c r="L140" s="130">
        <v>36</v>
      </c>
      <c r="M140" s="132">
        <v>26</v>
      </c>
      <c r="N140" s="133">
        <f t="shared" si="71"/>
        <v>452</v>
      </c>
      <c r="O140" s="3"/>
    </row>
    <row r="141" spans="1:15" ht="16" thickBot="1" x14ac:dyDescent="0.25">
      <c r="A141" s="99" t="s">
        <v>24</v>
      </c>
      <c r="B141" s="139">
        <f t="shared" ref="B141:M141" si="72">SUM(B137:B140)</f>
        <v>1112</v>
      </c>
      <c r="C141" s="137">
        <f t="shared" si="72"/>
        <v>1095</v>
      </c>
      <c r="D141" s="138">
        <f t="shared" si="72"/>
        <v>1254</v>
      </c>
      <c r="E141" s="139">
        <f t="shared" si="72"/>
        <v>821</v>
      </c>
      <c r="F141" s="137">
        <f t="shared" si="72"/>
        <v>792</v>
      </c>
      <c r="G141" s="138">
        <f t="shared" si="72"/>
        <v>637</v>
      </c>
      <c r="H141" s="139">
        <f t="shared" si="72"/>
        <v>437</v>
      </c>
      <c r="I141" s="137">
        <f t="shared" si="72"/>
        <v>418</v>
      </c>
      <c r="J141" s="138">
        <f t="shared" si="72"/>
        <v>355</v>
      </c>
      <c r="K141" s="139">
        <f t="shared" si="72"/>
        <v>326</v>
      </c>
      <c r="L141" s="137">
        <f t="shared" si="72"/>
        <v>427</v>
      </c>
      <c r="M141" s="140">
        <f t="shared" si="72"/>
        <v>295</v>
      </c>
      <c r="N141" s="406">
        <f t="shared" si="71"/>
        <v>7969</v>
      </c>
    </row>
    <row r="142" spans="1:15" x14ac:dyDescent="0.2">
      <c r="A142" s="105" t="s">
        <v>17</v>
      </c>
      <c r="B142" s="181"/>
      <c r="C142" s="182"/>
      <c r="D142" s="183"/>
      <c r="E142" s="181"/>
      <c r="F142" s="182"/>
      <c r="G142" s="183"/>
      <c r="H142" s="181"/>
      <c r="I142" s="182"/>
      <c r="J142" s="183"/>
      <c r="K142" s="141"/>
      <c r="L142" s="142"/>
      <c r="M142" s="169"/>
      <c r="N142" s="397"/>
    </row>
    <row r="143" spans="1:15" x14ac:dyDescent="0.2">
      <c r="A143" s="103" t="s">
        <v>71</v>
      </c>
      <c r="B143" s="172">
        <f t="shared" ref="B143:M143" si="73">B137/B141</f>
        <v>0.3920863309352518</v>
      </c>
      <c r="C143" s="170">
        <f t="shared" si="73"/>
        <v>0.43287671232876712</v>
      </c>
      <c r="D143" s="171">
        <f t="shared" si="73"/>
        <v>0.47208931419457734</v>
      </c>
      <c r="E143" s="172">
        <f t="shared" si="73"/>
        <v>0.45676004872107184</v>
      </c>
      <c r="F143" s="170">
        <f t="shared" si="73"/>
        <v>0.47853535353535354</v>
      </c>
      <c r="G143" s="171">
        <f t="shared" si="73"/>
        <v>0.45054945054945056</v>
      </c>
      <c r="H143" s="172">
        <f t="shared" si="73"/>
        <v>0.46453089244851259</v>
      </c>
      <c r="I143" s="170">
        <f t="shared" si="73"/>
        <v>0.42583732057416268</v>
      </c>
      <c r="J143" s="171">
        <f t="shared" si="73"/>
        <v>0.46478873239436619</v>
      </c>
      <c r="K143" s="172">
        <f t="shared" si="73"/>
        <v>0.43558282208588955</v>
      </c>
      <c r="L143" s="170">
        <f t="shared" si="73"/>
        <v>0.48477751756440279</v>
      </c>
      <c r="M143" s="173">
        <f t="shared" si="73"/>
        <v>0.44745762711864406</v>
      </c>
      <c r="N143" s="188">
        <f>N137/N$141</f>
        <v>0.44798594553896348</v>
      </c>
    </row>
    <row r="144" spans="1:15" x14ac:dyDescent="0.2">
      <c r="A144" s="103" t="s">
        <v>72</v>
      </c>
      <c r="B144" s="172">
        <f t="shared" ref="B144:M144" si="74">B138/B141</f>
        <v>0.57284172661870503</v>
      </c>
      <c r="C144" s="170">
        <f t="shared" si="74"/>
        <v>0.55433789954337898</v>
      </c>
      <c r="D144" s="171">
        <f t="shared" si="74"/>
        <v>0.49920255183413076</v>
      </c>
      <c r="E144" s="172">
        <f t="shared" si="74"/>
        <v>0.49939098660170522</v>
      </c>
      <c r="F144" s="170">
        <f t="shared" si="74"/>
        <v>0.46969696969696972</v>
      </c>
      <c r="G144" s="171">
        <f t="shared" si="74"/>
        <v>0.48822605965463106</v>
      </c>
      <c r="H144" s="172">
        <f t="shared" si="74"/>
        <v>0.39816933638443935</v>
      </c>
      <c r="I144" s="170">
        <f t="shared" si="74"/>
        <v>0.43301435406698563</v>
      </c>
      <c r="J144" s="171">
        <f t="shared" si="74"/>
        <v>0.43943661971830988</v>
      </c>
      <c r="K144" s="172">
        <f t="shared" si="74"/>
        <v>0.46012269938650308</v>
      </c>
      <c r="L144" s="170">
        <f t="shared" si="74"/>
        <v>0.43091334894613581</v>
      </c>
      <c r="M144" s="173">
        <f t="shared" si="74"/>
        <v>0.46440677966101696</v>
      </c>
      <c r="N144" s="188">
        <f>N138/N$141</f>
        <v>0.49504329275944287</v>
      </c>
    </row>
    <row r="145" spans="1:15" x14ac:dyDescent="0.2">
      <c r="A145" s="103" t="s">
        <v>30</v>
      </c>
      <c r="B145" s="172">
        <f t="shared" ref="B145:M145" si="75">B139/B141</f>
        <v>1.7985611510791368E-3</v>
      </c>
      <c r="C145" s="170">
        <f t="shared" si="75"/>
        <v>0</v>
      </c>
      <c r="D145" s="171">
        <f t="shared" si="75"/>
        <v>0</v>
      </c>
      <c r="E145" s="172">
        <f t="shared" si="75"/>
        <v>0</v>
      </c>
      <c r="F145" s="170">
        <f t="shared" si="75"/>
        <v>0</v>
      </c>
      <c r="G145" s="171">
        <f t="shared" si="75"/>
        <v>0</v>
      </c>
      <c r="H145" s="172">
        <f t="shared" si="75"/>
        <v>0</v>
      </c>
      <c r="I145" s="170">
        <f t="shared" si="75"/>
        <v>0</v>
      </c>
      <c r="J145" s="171">
        <f t="shared" si="75"/>
        <v>0</v>
      </c>
      <c r="K145" s="172">
        <f t="shared" si="75"/>
        <v>0</v>
      </c>
      <c r="L145" s="170">
        <f t="shared" si="75"/>
        <v>0</v>
      </c>
      <c r="M145" s="173">
        <f t="shared" si="75"/>
        <v>0</v>
      </c>
      <c r="N145" s="188">
        <f>N139/N$141</f>
        <v>2.5097251850922326E-4</v>
      </c>
    </row>
    <row r="146" spans="1:15" ht="16" thickBot="1" x14ac:dyDescent="0.25">
      <c r="A146" s="107" t="s">
        <v>55</v>
      </c>
      <c r="B146" s="160">
        <f t="shared" ref="B146:M146" si="76">B140/B141</f>
        <v>3.327338129496403E-2</v>
      </c>
      <c r="C146" s="158">
        <f t="shared" si="76"/>
        <v>1.2785388127853882E-2</v>
      </c>
      <c r="D146" s="159">
        <f t="shared" si="76"/>
        <v>2.8708133971291867E-2</v>
      </c>
      <c r="E146" s="160">
        <f t="shared" si="76"/>
        <v>4.38489646772229E-2</v>
      </c>
      <c r="F146" s="158">
        <f t="shared" si="76"/>
        <v>5.1767676767676768E-2</v>
      </c>
      <c r="G146" s="159">
        <f t="shared" si="76"/>
        <v>6.1224489795918366E-2</v>
      </c>
      <c r="H146" s="160">
        <f t="shared" si="76"/>
        <v>0.13729977116704806</v>
      </c>
      <c r="I146" s="158">
        <f t="shared" si="76"/>
        <v>0.14114832535885166</v>
      </c>
      <c r="J146" s="159">
        <f t="shared" si="76"/>
        <v>9.5774647887323941E-2</v>
      </c>
      <c r="K146" s="160">
        <f t="shared" si="76"/>
        <v>0.10429447852760736</v>
      </c>
      <c r="L146" s="158">
        <f t="shared" si="76"/>
        <v>8.4309133489461355E-2</v>
      </c>
      <c r="M146" s="161">
        <f t="shared" si="76"/>
        <v>8.8135593220338981E-2</v>
      </c>
      <c r="N146" s="189">
        <f>N140/N$141</f>
        <v>5.671978918308445E-2</v>
      </c>
    </row>
    <row r="147" spans="1:15" x14ac:dyDescent="0.2">
      <c r="A147" s="97"/>
      <c r="B147" s="241"/>
      <c r="C147" s="108"/>
      <c r="D147" s="108"/>
      <c r="E147" s="241"/>
      <c r="F147" s="108"/>
      <c r="G147" s="108"/>
      <c r="H147" s="241"/>
      <c r="I147" s="108"/>
      <c r="J147" s="108"/>
      <c r="K147" s="241"/>
      <c r="L147" s="108"/>
      <c r="M147" s="168"/>
      <c r="N147" s="168"/>
    </row>
    <row r="148" spans="1:15" ht="16" thickBot="1" x14ac:dyDescent="0.25">
      <c r="A148" s="97"/>
      <c r="B148" s="241"/>
      <c r="C148" s="108"/>
      <c r="D148" s="108"/>
      <c r="E148" s="241"/>
      <c r="F148" s="108"/>
      <c r="G148" s="108"/>
      <c r="H148" s="241"/>
      <c r="I148" s="108"/>
      <c r="J148" s="108"/>
      <c r="K148" s="241"/>
      <c r="L148" s="108"/>
      <c r="M148" s="168"/>
      <c r="N148" s="168"/>
    </row>
    <row r="149" spans="1:15" ht="16" thickBot="1" x14ac:dyDescent="0.25">
      <c r="A149" s="99" t="s">
        <v>73</v>
      </c>
      <c r="B149" s="244">
        <v>44927</v>
      </c>
      <c r="C149" s="245">
        <v>44958</v>
      </c>
      <c r="D149" s="245">
        <v>44986</v>
      </c>
      <c r="E149" s="244">
        <v>45017</v>
      </c>
      <c r="F149" s="245">
        <v>45047</v>
      </c>
      <c r="G149" s="245">
        <v>45078</v>
      </c>
      <c r="H149" s="244">
        <v>45108</v>
      </c>
      <c r="I149" s="245">
        <v>45139</v>
      </c>
      <c r="J149" s="245">
        <v>45170</v>
      </c>
      <c r="K149" s="244">
        <v>45200</v>
      </c>
      <c r="L149" s="245">
        <v>45231</v>
      </c>
      <c r="M149" s="246">
        <v>45261</v>
      </c>
      <c r="N149" s="406" t="s">
        <v>24</v>
      </c>
    </row>
    <row r="150" spans="1:15" x14ac:dyDescent="0.2">
      <c r="A150" s="105" t="s">
        <v>72</v>
      </c>
      <c r="B150" s="247"/>
      <c r="C150" s="248">
        <v>845</v>
      </c>
      <c r="D150" s="249">
        <f>1057+88</f>
        <v>1145</v>
      </c>
      <c r="E150" s="247">
        <v>730</v>
      </c>
      <c r="F150" s="248">
        <v>692</v>
      </c>
      <c r="G150" s="249">
        <v>554</v>
      </c>
      <c r="H150" s="247">
        <v>363</v>
      </c>
      <c r="I150" s="248">
        <v>321</v>
      </c>
      <c r="J150" s="249">
        <v>298</v>
      </c>
      <c r="K150" s="247">
        <v>265</v>
      </c>
      <c r="L150" s="248">
        <f>78+289</f>
        <v>367</v>
      </c>
      <c r="M150" s="250">
        <v>258</v>
      </c>
      <c r="N150" s="397">
        <f>SUM(B150:M150)</f>
        <v>5838</v>
      </c>
      <c r="O150" s="3"/>
    </row>
    <row r="151" spans="1:15" x14ac:dyDescent="0.2">
      <c r="A151" s="103" t="s">
        <v>71</v>
      </c>
      <c r="B151" s="146"/>
      <c r="C151" s="109">
        <v>45</v>
      </c>
      <c r="D151" s="147">
        <f>36+3</f>
        <v>39</v>
      </c>
      <c r="E151" s="146">
        <v>52</v>
      </c>
      <c r="F151" s="109">
        <v>78</v>
      </c>
      <c r="G151" s="147">
        <v>59</v>
      </c>
      <c r="H151" s="146">
        <v>32</v>
      </c>
      <c r="I151" s="109">
        <v>20</v>
      </c>
      <c r="J151" s="147">
        <v>22</v>
      </c>
      <c r="K151" s="146">
        <v>19</v>
      </c>
      <c r="L151" s="109">
        <v>27</v>
      </c>
      <c r="M151" s="154">
        <v>15</v>
      </c>
      <c r="N151" s="153">
        <f t="shared" ref="N151:N153" si="77">SUM(B151:M151)</f>
        <v>408</v>
      </c>
      <c r="O151" s="3"/>
    </row>
    <row r="152" spans="1:15" ht="16" thickBot="1" x14ac:dyDescent="0.25">
      <c r="A152" s="106" t="s">
        <v>74</v>
      </c>
      <c r="B152" s="129"/>
      <c r="C152" s="130">
        <v>205</v>
      </c>
      <c r="D152" s="131">
        <v>30</v>
      </c>
      <c r="E152" s="129">
        <v>39</v>
      </c>
      <c r="F152" s="130">
        <v>22</v>
      </c>
      <c r="G152" s="131">
        <v>24</v>
      </c>
      <c r="H152" s="129">
        <v>42</v>
      </c>
      <c r="I152" s="130">
        <v>77</v>
      </c>
      <c r="J152" s="131">
        <v>35</v>
      </c>
      <c r="K152" s="129">
        <v>42</v>
      </c>
      <c r="L152" s="130">
        <v>33</v>
      </c>
      <c r="M152" s="132">
        <v>22</v>
      </c>
      <c r="N152" s="133">
        <f t="shared" si="77"/>
        <v>571</v>
      </c>
      <c r="O152" s="3"/>
    </row>
    <row r="153" spans="1:15" ht="16" thickBot="1" x14ac:dyDescent="0.25">
      <c r="A153" s="99" t="s">
        <v>24</v>
      </c>
      <c r="B153" s="201"/>
      <c r="C153" s="137">
        <f>SUM(C150:C152)</f>
        <v>1095</v>
      </c>
      <c r="D153" s="138">
        <f t="shared" ref="D153:M153" si="78">SUM(D150:D152)</f>
        <v>1214</v>
      </c>
      <c r="E153" s="139">
        <f t="shared" si="78"/>
        <v>821</v>
      </c>
      <c r="F153" s="137">
        <f t="shared" si="78"/>
        <v>792</v>
      </c>
      <c r="G153" s="138">
        <f t="shared" si="78"/>
        <v>637</v>
      </c>
      <c r="H153" s="139">
        <f t="shared" si="78"/>
        <v>437</v>
      </c>
      <c r="I153" s="137">
        <f t="shared" si="78"/>
        <v>418</v>
      </c>
      <c r="J153" s="138">
        <f t="shared" si="78"/>
        <v>355</v>
      </c>
      <c r="K153" s="139">
        <f t="shared" si="78"/>
        <v>326</v>
      </c>
      <c r="L153" s="137">
        <f t="shared" si="78"/>
        <v>427</v>
      </c>
      <c r="M153" s="140">
        <f t="shared" si="78"/>
        <v>295</v>
      </c>
      <c r="N153" s="406">
        <f t="shared" si="77"/>
        <v>6817</v>
      </c>
    </row>
    <row r="154" spans="1:15" x14ac:dyDescent="0.2">
      <c r="A154" s="105" t="s">
        <v>17</v>
      </c>
      <c r="B154" s="141"/>
      <c r="C154" s="182"/>
      <c r="D154" s="183"/>
      <c r="E154" s="181"/>
      <c r="F154" s="182"/>
      <c r="G154" s="183"/>
      <c r="H154" s="181"/>
      <c r="I154" s="182"/>
      <c r="J154" s="183"/>
      <c r="K154" s="181"/>
      <c r="L154" s="182"/>
      <c r="M154" s="184"/>
      <c r="N154" s="397"/>
    </row>
    <row r="155" spans="1:15" x14ac:dyDescent="0.2">
      <c r="A155" s="103" t="s">
        <v>72</v>
      </c>
      <c r="B155" s="146"/>
      <c r="C155" s="170">
        <f>C150/C153</f>
        <v>0.77168949771689499</v>
      </c>
      <c r="D155" s="171">
        <f t="shared" ref="D155:M155" si="79">D150/D153</f>
        <v>0.94316309719934099</v>
      </c>
      <c r="E155" s="172">
        <f t="shared" si="79"/>
        <v>0.88915956151035325</v>
      </c>
      <c r="F155" s="170">
        <f t="shared" si="79"/>
        <v>0.8737373737373737</v>
      </c>
      <c r="G155" s="171">
        <f t="shared" si="79"/>
        <v>0.86970172684458402</v>
      </c>
      <c r="H155" s="172">
        <f t="shared" si="79"/>
        <v>0.83066361556064072</v>
      </c>
      <c r="I155" s="170">
        <f t="shared" si="79"/>
        <v>0.76794258373205737</v>
      </c>
      <c r="J155" s="171">
        <f t="shared" si="79"/>
        <v>0.83943661971830985</v>
      </c>
      <c r="K155" s="172">
        <f t="shared" si="79"/>
        <v>0.81288343558282206</v>
      </c>
      <c r="L155" s="170">
        <f t="shared" si="79"/>
        <v>0.85948477751756436</v>
      </c>
      <c r="M155" s="173">
        <f t="shared" si="79"/>
        <v>0.87457627118644066</v>
      </c>
      <c r="N155" s="188">
        <f>N150/N$153</f>
        <v>0.85638844066304831</v>
      </c>
    </row>
    <row r="156" spans="1:15" x14ac:dyDescent="0.2">
      <c r="A156" s="103" t="s">
        <v>71</v>
      </c>
      <c r="B156" s="146"/>
      <c r="C156" s="170">
        <f>C151/C153</f>
        <v>4.1095890410958902E-2</v>
      </c>
      <c r="D156" s="171">
        <f t="shared" ref="D156:M156" si="80">D151/D153</f>
        <v>3.2125205930807248E-2</v>
      </c>
      <c r="E156" s="172">
        <f t="shared" si="80"/>
        <v>6.3337393422655291E-2</v>
      </c>
      <c r="F156" s="170">
        <f t="shared" si="80"/>
        <v>9.8484848484848481E-2</v>
      </c>
      <c r="G156" s="171">
        <f t="shared" si="80"/>
        <v>9.2621664050235475E-2</v>
      </c>
      <c r="H156" s="172">
        <f t="shared" si="80"/>
        <v>7.3226544622425629E-2</v>
      </c>
      <c r="I156" s="170">
        <f t="shared" si="80"/>
        <v>4.784688995215311E-2</v>
      </c>
      <c r="J156" s="171">
        <f t="shared" si="80"/>
        <v>6.1971830985915494E-2</v>
      </c>
      <c r="K156" s="172">
        <f t="shared" si="80"/>
        <v>5.8282208588957052E-2</v>
      </c>
      <c r="L156" s="170">
        <f t="shared" si="80"/>
        <v>6.323185011709602E-2</v>
      </c>
      <c r="M156" s="173">
        <f t="shared" si="80"/>
        <v>5.0847457627118647E-2</v>
      </c>
      <c r="N156" s="188">
        <f>N151/N$153</f>
        <v>5.9850374064837904E-2</v>
      </c>
    </row>
    <row r="157" spans="1:15" ht="16" thickBot="1" x14ac:dyDescent="0.25">
      <c r="A157" s="107" t="s">
        <v>74</v>
      </c>
      <c r="B157" s="155"/>
      <c r="C157" s="158">
        <f>C152/C153</f>
        <v>0.18721461187214611</v>
      </c>
      <c r="D157" s="159">
        <f t="shared" ref="D157:M157" si="81">D152/D153</f>
        <v>2.4711696869851731E-2</v>
      </c>
      <c r="E157" s="160">
        <f t="shared" si="81"/>
        <v>4.7503045066991476E-2</v>
      </c>
      <c r="F157" s="158">
        <f t="shared" si="81"/>
        <v>2.7777777777777776E-2</v>
      </c>
      <c r="G157" s="159">
        <f t="shared" si="81"/>
        <v>3.7676609105180531E-2</v>
      </c>
      <c r="H157" s="160">
        <f t="shared" si="81"/>
        <v>9.6109839816933634E-2</v>
      </c>
      <c r="I157" s="158">
        <f t="shared" si="81"/>
        <v>0.18421052631578946</v>
      </c>
      <c r="J157" s="159">
        <f t="shared" si="81"/>
        <v>9.8591549295774641E-2</v>
      </c>
      <c r="K157" s="160">
        <f t="shared" si="81"/>
        <v>0.12883435582822086</v>
      </c>
      <c r="L157" s="158">
        <f t="shared" si="81"/>
        <v>7.7283372365339581E-2</v>
      </c>
      <c r="M157" s="161">
        <f t="shared" si="81"/>
        <v>7.4576271186440682E-2</v>
      </c>
      <c r="N157" s="189">
        <f>N152/N$153</f>
        <v>8.3761185272113833E-2</v>
      </c>
    </row>
    <row r="158" spans="1:15" x14ac:dyDescent="0.2">
      <c r="A158" s="96"/>
      <c r="B158" s="241"/>
      <c r="C158" s="251"/>
      <c r="D158" s="251"/>
      <c r="E158" s="252"/>
      <c r="F158" s="251"/>
      <c r="G158" s="251"/>
      <c r="H158" s="252"/>
      <c r="I158" s="251"/>
      <c r="J158" s="251"/>
      <c r="K158" s="252"/>
      <c r="L158" s="251"/>
      <c r="M158" s="253"/>
      <c r="N158" s="168"/>
    </row>
    <row r="159" spans="1:15" ht="16" thickBot="1" x14ac:dyDescent="0.25">
      <c r="A159" s="96"/>
      <c r="B159" s="241"/>
      <c r="C159" s="251"/>
      <c r="D159" s="251"/>
      <c r="E159" s="252"/>
      <c r="F159" s="251"/>
      <c r="G159" s="251"/>
      <c r="H159" s="252"/>
      <c r="I159" s="251"/>
      <c r="J159" s="251"/>
      <c r="K159" s="252"/>
      <c r="L159" s="251"/>
      <c r="M159" s="253"/>
      <c r="N159" s="168"/>
    </row>
    <row r="160" spans="1:15" ht="16" thickBot="1" x14ac:dyDescent="0.25">
      <c r="A160" s="99" t="s">
        <v>75</v>
      </c>
      <c r="B160" s="254">
        <v>44927</v>
      </c>
      <c r="C160" s="255">
        <v>44958</v>
      </c>
      <c r="D160" s="255">
        <v>44986</v>
      </c>
      <c r="E160" s="254">
        <v>45017</v>
      </c>
      <c r="F160" s="255">
        <v>45047</v>
      </c>
      <c r="G160" s="255">
        <v>45078</v>
      </c>
      <c r="H160" s="254">
        <v>45108</v>
      </c>
      <c r="I160" s="255">
        <v>45139</v>
      </c>
      <c r="J160" s="255">
        <v>45170</v>
      </c>
      <c r="K160" s="254">
        <v>45200</v>
      </c>
      <c r="L160" s="255">
        <v>45231</v>
      </c>
      <c r="M160" s="256">
        <v>45261</v>
      </c>
      <c r="N160" s="195" t="s">
        <v>24</v>
      </c>
    </row>
    <row r="161" spans="1:15" x14ac:dyDescent="0.2">
      <c r="A161" s="105" t="s">
        <v>72</v>
      </c>
      <c r="B161" s="141">
        <v>158</v>
      </c>
      <c r="C161" s="142">
        <v>208</v>
      </c>
      <c r="D161" s="143">
        <f>234+20</f>
        <v>254</v>
      </c>
      <c r="E161" s="141">
        <v>213</v>
      </c>
      <c r="F161" s="142">
        <v>226</v>
      </c>
      <c r="G161" s="143">
        <v>155</v>
      </c>
      <c r="H161" s="141">
        <v>93</v>
      </c>
      <c r="I161" s="142">
        <v>94</v>
      </c>
      <c r="J161" s="143">
        <v>87</v>
      </c>
      <c r="K161" s="141">
        <v>92</v>
      </c>
      <c r="L161" s="142">
        <f>86+19</f>
        <v>105</v>
      </c>
      <c r="M161" s="169">
        <v>95</v>
      </c>
      <c r="N161" s="195">
        <f>SUM(B161:M161)</f>
        <v>1780</v>
      </c>
      <c r="O161" s="3"/>
    </row>
    <row r="162" spans="1:15" x14ac:dyDescent="0.2">
      <c r="A162" s="103" t="s">
        <v>71</v>
      </c>
      <c r="B162" s="146">
        <v>930</v>
      </c>
      <c r="C162" s="109">
        <v>846</v>
      </c>
      <c r="D162" s="147">
        <f>860+70</f>
        <v>930</v>
      </c>
      <c r="E162" s="146">
        <v>577</v>
      </c>
      <c r="F162" s="109">
        <v>517</v>
      </c>
      <c r="G162" s="147">
        <v>463</v>
      </c>
      <c r="H162" s="146">
        <v>313</v>
      </c>
      <c r="I162" s="109">
        <v>280</v>
      </c>
      <c r="J162" s="147">
        <v>230</v>
      </c>
      <c r="K162" s="146">
        <v>206</v>
      </c>
      <c r="L162" s="109">
        <f>68+222</f>
        <v>290</v>
      </c>
      <c r="M162" s="154">
        <v>174</v>
      </c>
      <c r="N162" s="257">
        <f t="shared" ref="N162:N164" si="82">SUM(B162:M162)</f>
        <v>5756</v>
      </c>
      <c r="O162" s="3"/>
    </row>
    <row r="163" spans="1:15" ht="16" thickBot="1" x14ac:dyDescent="0.25">
      <c r="A163" s="106" t="s">
        <v>31</v>
      </c>
      <c r="B163" s="129">
        <v>24</v>
      </c>
      <c r="C163" s="130">
        <v>41</v>
      </c>
      <c r="D163" s="131">
        <v>30</v>
      </c>
      <c r="E163" s="129">
        <v>31</v>
      </c>
      <c r="F163" s="130">
        <v>49</v>
      </c>
      <c r="G163" s="131">
        <v>19</v>
      </c>
      <c r="H163" s="129">
        <v>31</v>
      </c>
      <c r="I163" s="130">
        <v>44</v>
      </c>
      <c r="J163" s="131">
        <v>38</v>
      </c>
      <c r="K163" s="129">
        <v>28</v>
      </c>
      <c r="L163" s="130">
        <f>4+28</f>
        <v>32</v>
      </c>
      <c r="M163" s="132">
        <v>26</v>
      </c>
      <c r="N163" s="257">
        <f t="shared" si="82"/>
        <v>393</v>
      </c>
      <c r="O163" s="3"/>
    </row>
    <row r="164" spans="1:15" ht="16" thickBot="1" x14ac:dyDescent="0.25">
      <c r="A164" s="99" t="s">
        <v>24</v>
      </c>
      <c r="B164" s="404">
        <f t="shared" ref="B164:M164" si="83">SUM(B161:B163)</f>
        <v>1112</v>
      </c>
      <c r="C164" s="405">
        <f t="shared" si="83"/>
        <v>1095</v>
      </c>
      <c r="D164" s="405">
        <f t="shared" si="83"/>
        <v>1214</v>
      </c>
      <c r="E164" s="404">
        <f t="shared" si="83"/>
        <v>821</v>
      </c>
      <c r="F164" s="405">
        <f t="shared" si="83"/>
        <v>792</v>
      </c>
      <c r="G164" s="405">
        <f t="shared" si="83"/>
        <v>637</v>
      </c>
      <c r="H164" s="404">
        <f t="shared" si="83"/>
        <v>437</v>
      </c>
      <c r="I164" s="405">
        <f t="shared" si="83"/>
        <v>418</v>
      </c>
      <c r="J164" s="405">
        <f t="shared" si="83"/>
        <v>355</v>
      </c>
      <c r="K164" s="404">
        <f t="shared" si="83"/>
        <v>326</v>
      </c>
      <c r="L164" s="405">
        <f t="shared" si="83"/>
        <v>427</v>
      </c>
      <c r="M164" s="406">
        <f t="shared" si="83"/>
        <v>295</v>
      </c>
      <c r="N164" s="406">
        <f t="shared" si="82"/>
        <v>7929</v>
      </c>
    </row>
    <row r="165" spans="1:15" x14ac:dyDescent="0.2">
      <c r="A165" s="96" t="s">
        <v>92</v>
      </c>
      <c r="B165" s="141"/>
      <c r="C165" s="142"/>
      <c r="D165" s="143"/>
      <c r="E165" s="141"/>
      <c r="F165" s="142"/>
      <c r="G165" s="143"/>
      <c r="H165" s="141"/>
      <c r="I165" s="142"/>
      <c r="J165" s="143"/>
      <c r="K165" s="141"/>
      <c r="L165" s="142"/>
      <c r="M165" s="169"/>
      <c r="N165" s="397"/>
    </row>
    <row r="166" spans="1:15" x14ac:dyDescent="0.2">
      <c r="A166" s="105" t="s">
        <v>72</v>
      </c>
      <c r="B166" s="172">
        <f t="shared" ref="B166:M166" si="84">B$161/B$164</f>
        <v>0.1420863309352518</v>
      </c>
      <c r="C166" s="170">
        <f t="shared" si="84"/>
        <v>0.18995433789954339</v>
      </c>
      <c r="D166" s="171">
        <f t="shared" si="84"/>
        <v>0.20922570016474465</v>
      </c>
      <c r="E166" s="172">
        <f t="shared" si="84"/>
        <v>0.25943970767356883</v>
      </c>
      <c r="F166" s="170">
        <f t="shared" si="84"/>
        <v>0.28535353535353536</v>
      </c>
      <c r="G166" s="171">
        <f t="shared" si="84"/>
        <v>0.24332810047095763</v>
      </c>
      <c r="H166" s="172">
        <f t="shared" si="84"/>
        <v>0.21281464530892449</v>
      </c>
      <c r="I166" s="170">
        <f t="shared" si="84"/>
        <v>0.22488038277511962</v>
      </c>
      <c r="J166" s="171">
        <f t="shared" si="84"/>
        <v>0.24507042253521127</v>
      </c>
      <c r="K166" s="172">
        <f t="shared" si="84"/>
        <v>0.2822085889570552</v>
      </c>
      <c r="L166" s="170">
        <f t="shared" si="84"/>
        <v>0.24590163934426229</v>
      </c>
      <c r="M166" s="173">
        <f t="shared" si="84"/>
        <v>0.32203389830508472</v>
      </c>
      <c r="N166" s="174">
        <f>N161/N164</f>
        <v>0.22449236978181358</v>
      </c>
    </row>
    <row r="167" spans="1:15" x14ac:dyDescent="0.2">
      <c r="A167" s="103" t="s">
        <v>71</v>
      </c>
      <c r="B167" s="172">
        <f t="shared" ref="B167:M167" si="85">B$162/B$164</f>
        <v>0.83633093525179858</v>
      </c>
      <c r="C167" s="170">
        <f t="shared" si="85"/>
        <v>0.77260273972602744</v>
      </c>
      <c r="D167" s="171">
        <f t="shared" si="85"/>
        <v>0.76606260296540363</v>
      </c>
      <c r="E167" s="172">
        <f t="shared" si="85"/>
        <v>0.70280146163215595</v>
      </c>
      <c r="F167" s="170">
        <f t="shared" si="85"/>
        <v>0.65277777777777779</v>
      </c>
      <c r="G167" s="171">
        <f t="shared" si="85"/>
        <v>0.72684458398744112</v>
      </c>
      <c r="H167" s="172">
        <f t="shared" si="85"/>
        <v>0.71624713958810071</v>
      </c>
      <c r="I167" s="170">
        <f t="shared" si="85"/>
        <v>0.66985645933014359</v>
      </c>
      <c r="J167" s="171">
        <f t="shared" si="85"/>
        <v>0.647887323943662</v>
      </c>
      <c r="K167" s="172">
        <f t="shared" si="85"/>
        <v>0.63190184049079756</v>
      </c>
      <c r="L167" s="170">
        <f t="shared" si="85"/>
        <v>0.67915690866510536</v>
      </c>
      <c r="M167" s="173">
        <f t="shared" si="85"/>
        <v>0.5898305084745763</v>
      </c>
      <c r="N167" s="174">
        <f>N162/N164</f>
        <v>0.72594274183377472</v>
      </c>
    </row>
    <row r="168" spans="1:15" x14ac:dyDescent="0.2">
      <c r="A168" s="106" t="s">
        <v>31</v>
      </c>
      <c r="B168" s="172">
        <f t="shared" ref="B168:M168" si="86">B$163/B$164</f>
        <v>2.1582733812949641E-2</v>
      </c>
      <c r="C168" s="170">
        <f t="shared" si="86"/>
        <v>3.744292237442922E-2</v>
      </c>
      <c r="D168" s="171">
        <f t="shared" si="86"/>
        <v>2.4711696869851731E-2</v>
      </c>
      <c r="E168" s="172">
        <f t="shared" si="86"/>
        <v>3.7758830694275276E-2</v>
      </c>
      <c r="F168" s="170">
        <f t="shared" si="86"/>
        <v>6.1868686868686872E-2</v>
      </c>
      <c r="G168" s="171">
        <f t="shared" si="86"/>
        <v>2.9827315541601257E-2</v>
      </c>
      <c r="H168" s="172">
        <f t="shared" si="86"/>
        <v>7.0938215102974822E-2</v>
      </c>
      <c r="I168" s="170">
        <f t="shared" si="86"/>
        <v>0.10526315789473684</v>
      </c>
      <c r="J168" s="171">
        <f t="shared" si="86"/>
        <v>0.10704225352112676</v>
      </c>
      <c r="K168" s="172">
        <f t="shared" si="86"/>
        <v>8.5889570552147243E-2</v>
      </c>
      <c r="L168" s="170">
        <f t="shared" si="86"/>
        <v>7.4941451990632318E-2</v>
      </c>
      <c r="M168" s="173">
        <f t="shared" si="86"/>
        <v>8.8135593220338981E-2</v>
      </c>
      <c r="N168" s="174">
        <f>N163/N164</f>
        <v>4.9564888384411657E-2</v>
      </c>
    </row>
    <row r="169" spans="1:15" ht="16" thickBot="1" x14ac:dyDescent="0.25">
      <c r="A169" s="96" t="s">
        <v>14</v>
      </c>
      <c r="B169" s="258"/>
      <c r="C169" s="259"/>
      <c r="D169" s="260"/>
      <c r="E169" s="258"/>
      <c r="F169" s="259"/>
      <c r="G169" s="260"/>
      <c r="H169" s="258"/>
      <c r="I169" s="259"/>
      <c r="J169" s="260"/>
      <c r="K169" s="258"/>
      <c r="L169" s="259"/>
      <c r="M169" s="261"/>
      <c r="N169" s="133"/>
    </row>
    <row r="170" spans="1:15" ht="16" thickBot="1" x14ac:dyDescent="0.25">
      <c r="A170" s="99" t="s">
        <v>76</v>
      </c>
      <c r="B170" s="262">
        <f t="shared" ref="B170:M170" si="87">B$161/B$6</f>
        <v>5.096774193548387</v>
      </c>
      <c r="C170" s="263">
        <f t="shared" si="87"/>
        <v>7.4285714285714288</v>
      </c>
      <c r="D170" s="264">
        <f t="shared" si="87"/>
        <v>8.193548387096774</v>
      </c>
      <c r="E170" s="262">
        <f t="shared" si="87"/>
        <v>7.1</v>
      </c>
      <c r="F170" s="263">
        <f t="shared" si="87"/>
        <v>7.5333333333333332</v>
      </c>
      <c r="G170" s="264">
        <f t="shared" si="87"/>
        <v>5.3448275862068968</v>
      </c>
      <c r="H170" s="262">
        <f t="shared" si="87"/>
        <v>3.2068965517241379</v>
      </c>
      <c r="I170" s="263">
        <f t="shared" si="87"/>
        <v>3.1333333333333333</v>
      </c>
      <c r="J170" s="264">
        <f t="shared" si="87"/>
        <v>3.1071428571428572</v>
      </c>
      <c r="K170" s="262">
        <f t="shared" si="87"/>
        <v>4.1818181818181817</v>
      </c>
      <c r="L170" s="263">
        <f t="shared" si="87"/>
        <v>3.6206896551724137</v>
      </c>
      <c r="M170" s="265">
        <f t="shared" si="87"/>
        <v>3.9583333333333335</v>
      </c>
      <c r="N170" s="266">
        <f>N$161/N$6</f>
        <v>5.2199413489736068</v>
      </c>
    </row>
  </sheetData>
  <mergeCells count="5">
    <mergeCell ref="B2:D2"/>
    <mergeCell ref="E2:G2"/>
    <mergeCell ref="H2:J2"/>
    <mergeCell ref="K2:M2"/>
    <mergeCell ref="B1:N1"/>
  </mergeCells>
  <printOptions gridLines="1"/>
  <pageMargins left="0.25" right="0.25" top="0.75" bottom="0.75" header="0.3" footer="0.3"/>
  <pageSetup scale="5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8ED88-2B50-46A1-BAA3-5DD1B27007A7}">
  <sheetPr>
    <pageSetUpPr fitToPage="1"/>
  </sheetPr>
  <dimension ref="A1:L161"/>
  <sheetViews>
    <sheetView topLeftCell="A42" workbookViewId="0">
      <selection activeCell="L7" sqref="L7"/>
    </sheetView>
  </sheetViews>
  <sheetFormatPr baseColWidth="10" defaultColWidth="8.83203125" defaultRowHeight="15" x14ac:dyDescent="0.2"/>
  <cols>
    <col min="1" max="1" width="23.1640625" style="6" customWidth="1"/>
    <col min="2" max="2" width="7.5" customWidth="1"/>
    <col min="3" max="3" width="8.5" customWidth="1"/>
    <col min="4" max="4" width="6.5" customWidth="1"/>
    <col min="5" max="5" width="7.33203125" customWidth="1"/>
    <col min="6" max="6" width="7.5" customWidth="1"/>
    <col min="7" max="7" width="7.33203125" customWidth="1"/>
    <col min="8" max="8" width="7" customWidth="1"/>
    <col min="9" max="10" width="7.1640625" customWidth="1"/>
  </cols>
  <sheetData>
    <row r="1" spans="1:12" ht="15.75" customHeight="1" x14ac:dyDescent="0.2">
      <c r="A1" s="91" t="s">
        <v>0</v>
      </c>
      <c r="B1" s="426">
        <v>2022</v>
      </c>
      <c r="C1" s="427"/>
      <c r="D1" s="427"/>
      <c r="E1" s="427"/>
      <c r="F1" s="427"/>
      <c r="G1" s="427"/>
      <c r="H1" s="427"/>
      <c r="I1" s="427"/>
      <c r="J1" s="427"/>
      <c r="K1" s="428"/>
    </row>
    <row r="2" spans="1:12" ht="16" x14ac:dyDescent="0.2">
      <c r="A2" s="83" t="s">
        <v>1</v>
      </c>
      <c r="B2" s="422" t="s">
        <v>3</v>
      </c>
      <c r="C2" s="423"/>
      <c r="D2" s="424"/>
      <c r="E2" s="422" t="s">
        <v>4</v>
      </c>
      <c r="F2" s="423"/>
      <c r="G2" s="424"/>
      <c r="H2" s="422" t="s">
        <v>5</v>
      </c>
      <c r="I2" s="423"/>
      <c r="J2" s="425"/>
      <c r="K2" s="394"/>
    </row>
    <row r="3" spans="1:12" ht="16" x14ac:dyDescent="0.2">
      <c r="A3" s="83" t="s">
        <v>6</v>
      </c>
      <c r="B3" s="110">
        <v>44652</v>
      </c>
      <c r="C3" s="111">
        <v>44682</v>
      </c>
      <c r="D3" s="112">
        <v>44713</v>
      </c>
      <c r="E3" s="110">
        <v>44743</v>
      </c>
      <c r="F3" s="111">
        <v>44774</v>
      </c>
      <c r="G3" s="112">
        <v>44805</v>
      </c>
      <c r="H3" s="110">
        <v>44835</v>
      </c>
      <c r="I3" s="111">
        <v>44866</v>
      </c>
      <c r="J3" s="113">
        <v>44896</v>
      </c>
      <c r="K3" s="114"/>
    </row>
    <row r="4" spans="1:12" ht="16" thickBot="1" x14ac:dyDescent="0.25">
      <c r="A4" s="84"/>
      <c r="B4" s="115"/>
      <c r="C4" s="116"/>
      <c r="D4" s="117"/>
      <c r="E4" s="115"/>
      <c r="F4" s="116"/>
      <c r="G4" s="117"/>
      <c r="H4" s="115"/>
      <c r="I4" s="116"/>
      <c r="J4" s="118"/>
      <c r="K4" s="119"/>
    </row>
    <row r="5" spans="1:12" ht="17" thickBot="1" x14ac:dyDescent="0.25">
      <c r="A5" s="85" t="s">
        <v>9</v>
      </c>
      <c r="B5" s="120">
        <v>44652</v>
      </c>
      <c r="C5" s="121">
        <v>44682</v>
      </c>
      <c r="D5" s="122">
        <v>44713</v>
      </c>
      <c r="E5" s="120">
        <v>44743</v>
      </c>
      <c r="F5" s="121">
        <v>44774</v>
      </c>
      <c r="G5" s="122">
        <v>44805</v>
      </c>
      <c r="H5" s="120">
        <v>44835</v>
      </c>
      <c r="I5" s="121">
        <v>44866</v>
      </c>
      <c r="J5" s="123">
        <v>44896</v>
      </c>
      <c r="K5" s="406" t="s">
        <v>96</v>
      </c>
    </row>
    <row r="6" spans="1:12" ht="16" x14ac:dyDescent="0.2">
      <c r="A6" s="86" t="s">
        <v>10</v>
      </c>
      <c r="B6" s="124">
        <v>18</v>
      </c>
      <c r="C6" s="125">
        <v>31</v>
      </c>
      <c r="D6" s="126">
        <v>30</v>
      </c>
      <c r="E6" s="124">
        <v>30</v>
      </c>
      <c r="F6" s="125">
        <v>29</v>
      </c>
      <c r="G6" s="126">
        <v>30</v>
      </c>
      <c r="H6" s="124">
        <v>29</v>
      </c>
      <c r="I6" s="127">
        <v>30</v>
      </c>
      <c r="J6" s="128">
        <v>31</v>
      </c>
      <c r="K6" s="397">
        <f>SUM(B6:J6)</f>
        <v>258</v>
      </c>
      <c r="L6" s="4"/>
    </row>
    <row r="7" spans="1:12" ht="17" thickBot="1" x14ac:dyDescent="0.25">
      <c r="A7" s="84" t="s">
        <v>11</v>
      </c>
      <c r="B7" s="129"/>
      <c r="C7" s="130"/>
      <c r="D7" s="131"/>
      <c r="E7" s="129"/>
      <c r="F7" s="130">
        <v>24</v>
      </c>
      <c r="G7" s="131">
        <v>36</v>
      </c>
      <c r="H7" s="129">
        <f>25+39</f>
        <v>64</v>
      </c>
      <c r="I7" s="130">
        <v>64</v>
      </c>
      <c r="J7" s="132">
        <v>81</v>
      </c>
      <c r="K7" s="133">
        <f>SUM(B7:J7)</f>
        <v>269</v>
      </c>
      <c r="L7" s="4"/>
    </row>
    <row r="8" spans="1:12" ht="17" thickBot="1" x14ac:dyDescent="0.25">
      <c r="A8" s="87" t="s">
        <v>12</v>
      </c>
      <c r="B8" s="134">
        <v>288</v>
      </c>
      <c r="C8" s="135">
        <v>686</v>
      </c>
      <c r="D8" s="136">
        <v>906</v>
      </c>
      <c r="E8" s="134">
        <v>1196</v>
      </c>
      <c r="F8" s="137">
        <v>1032</v>
      </c>
      <c r="G8" s="138">
        <v>666</v>
      </c>
      <c r="H8" s="139">
        <v>853</v>
      </c>
      <c r="I8" s="137">
        <v>1128</v>
      </c>
      <c r="J8" s="140">
        <v>965</v>
      </c>
      <c r="K8" s="406">
        <f>SUM(B8:J8)</f>
        <v>7720</v>
      </c>
    </row>
    <row r="9" spans="1:12" ht="16" x14ac:dyDescent="0.2">
      <c r="A9" s="86" t="s">
        <v>91</v>
      </c>
      <c r="B9" s="141"/>
      <c r="C9" s="142"/>
      <c r="D9" s="143"/>
      <c r="E9" s="141"/>
      <c r="F9" s="142"/>
      <c r="G9" s="143"/>
      <c r="H9" s="141"/>
      <c r="I9" s="144"/>
      <c r="J9" s="145"/>
      <c r="K9" s="397"/>
    </row>
    <row r="10" spans="1:12" ht="32" x14ac:dyDescent="0.2">
      <c r="A10" s="83" t="s">
        <v>15</v>
      </c>
      <c r="B10" s="146"/>
      <c r="C10" s="109"/>
      <c r="D10" s="147"/>
      <c r="E10" s="146"/>
      <c r="F10" s="148">
        <f>F7/F6</f>
        <v>0.82758620689655171</v>
      </c>
      <c r="G10" s="149">
        <f t="shared" ref="G10:J10" si="0">G7/G6</f>
        <v>1.2</v>
      </c>
      <c r="H10" s="150">
        <f t="shared" si="0"/>
        <v>2.2068965517241379</v>
      </c>
      <c r="I10" s="148">
        <f t="shared" si="0"/>
        <v>2.1333333333333333</v>
      </c>
      <c r="J10" s="151">
        <f t="shared" si="0"/>
        <v>2.6129032258064515</v>
      </c>
      <c r="K10" s="152">
        <f>SUM(F10:J10)/5</f>
        <v>1.796143863552095</v>
      </c>
    </row>
    <row r="11" spans="1:12" ht="32" x14ac:dyDescent="0.2">
      <c r="A11" s="83" t="s">
        <v>16</v>
      </c>
      <c r="B11" s="146"/>
      <c r="C11" s="109"/>
      <c r="D11" s="147"/>
      <c r="E11" s="146"/>
      <c r="F11" s="148"/>
      <c r="G11" s="149"/>
      <c r="H11" s="150"/>
      <c r="I11" s="148">
        <v>3.3332999999999999</v>
      </c>
      <c r="J11" s="151">
        <v>2.9670000000000001</v>
      </c>
      <c r="K11" s="153"/>
    </row>
    <row r="12" spans="1:12" ht="16" x14ac:dyDescent="0.2">
      <c r="A12" s="83" t="s">
        <v>17</v>
      </c>
      <c r="B12" s="146"/>
      <c r="C12" s="109"/>
      <c r="D12" s="147"/>
      <c r="E12" s="146"/>
      <c r="F12" s="109"/>
      <c r="G12" s="147"/>
      <c r="H12" s="146"/>
      <c r="I12" s="109"/>
      <c r="J12" s="154"/>
      <c r="K12" s="153"/>
    </row>
    <row r="13" spans="1:12" ht="33" thickBot="1" x14ac:dyDescent="0.25">
      <c r="A13" s="88" t="s">
        <v>18</v>
      </c>
      <c r="B13" s="155"/>
      <c r="C13" s="156"/>
      <c r="D13" s="157"/>
      <c r="E13" s="155"/>
      <c r="F13" s="158">
        <f t="shared" ref="F13:J13" si="1">F7/F8</f>
        <v>2.3255813953488372E-2</v>
      </c>
      <c r="G13" s="159">
        <f t="shared" si="1"/>
        <v>5.4054054054054057E-2</v>
      </c>
      <c r="H13" s="160">
        <f t="shared" si="1"/>
        <v>7.5029308323563887E-2</v>
      </c>
      <c r="I13" s="158">
        <f t="shared" si="1"/>
        <v>5.6737588652482268E-2</v>
      </c>
      <c r="J13" s="161">
        <f t="shared" si="1"/>
        <v>8.3937823834196887E-2</v>
      </c>
      <c r="K13" s="162">
        <f>K7/K8</f>
        <v>3.4844559585492228E-2</v>
      </c>
    </row>
    <row r="14" spans="1:12" ht="16" thickBot="1" x14ac:dyDescent="0.25">
      <c r="A14" s="89"/>
      <c r="B14" s="163"/>
      <c r="C14" s="164"/>
      <c r="D14" s="165"/>
      <c r="E14" s="163"/>
      <c r="F14" s="164"/>
      <c r="G14" s="165"/>
      <c r="H14" s="163"/>
      <c r="I14" s="166"/>
      <c r="J14" s="167"/>
      <c r="K14" s="168"/>
    </row>
    <row r="15" spans="1:12" ht="17" thickBot="1" x14ac:dyDescent="0.25">
      <c r="A15" s="87" t="s">
        <v>19</v>
      </c>
      <c r="B15" s="120">
        <v>44652</v>
      </c>
      <c r="C15" s="121">
        <v>44682</v>
      </c>
      <c r="D15" s="122">
        <v>44713</v>
      </c>
      <c r="E15" s="120">
        <v>44743</v>
      </c>
      <c r="F15" s="121">
        <v>44774</v>
      </c>
      <c r="G15" s="122">
        <v>44805</v>
      </c>
      <c r="H15" s="120">
        <v>44835</v>
      </c>
      <c r="I15" s="121">
        <v>44866</v>
      </c>
      <c r="J15" s="123">
        <v>44896</v>
      </c>
      <c r="K15" s="406" t="s">
        <v>24</v>
      </c>
    </row>
    <row r="16" spans="1:12" ht="16" x14ac:dyDescent="0.2">
      <c r="A16" s="86" t="s">
        <v>20</v>
      </c>
      <c r="B16" s="141"/>
      <c r="C16" s="142"/>
      <c r="D16" s="143"/>
      <c r="E16" s="141"/>
      <c r="F16" s="142">
        <v>1026</v>
      </c>
      <c r="G16" s="143">
        <v>627</v>
      </c>
      <c r="H16" s="141">
        <v>809</v>
      </c>
      <c r="I16" s="142">
        <v>1002</v>
      </c>
      <c r="J16" s="169">
        <v>876</v>
      </c>
      <c r="K16" s="397">
        <f>SUM(B16:J16)</f>
        <v>4340</v>
      </c>
    </row>
    <row r="17" spans="1:11" ht="16" x14ac:dyDescent="0.2">
      <c r="A17" s="83" t="s">
        <v>21</v>
      </c>
      <c r="B17" s="146"/>
      <c r="C17" s="109"/>
      <c r="D17" s="147"/>
      <c r="E17" s="146"/>
      <c r="F17" s="109">
        <v>3</v>
      </c>
      <c r="G17" s="147">
        <v>10</v>
      </c>
      <c r="H17" s="146">
        <v>39</v>
      </c>
      <c r="I17" s="109">
        <v>50</v>
      </c>
      <c r="J17" s="154">
        <v>32</v>
      </c>
      <c r="K17" s="153">
        <f t="shared" ref="K17:K21" si="2">SUM(B17:J17)</f>
        <v>134</v>
      </c>
    </row>
    <row r="18" spans="1:11" ht="32" x14ac:dyDescent="0.2">
      <c r="A18" s="83" t="s">
        <v>22</v>
      </c>
      <c r="B18" s="146"/>
      <c r="C18" s="109"/>
      <c r="D18" s="147"/>
      <c r="E18" s="146"/>
      <c r="F18" s="109">
        <v>1</v>
      </c>
      <c r="G18" s="147"/>
      <c r="H18" s="146">
        <v>2</v>
      </c>
      <c r="I18" s="109">
        <v>2</v>
      </c>
      <c r="J18" s="154"/>
      <c r="K18" s="153">
        <f t="shared" si="2"/>
        <v>5</v>
      </c>
    </row>
    <row r="19" spans="1:11" ht="16" x14ac:dyDescent="0.2">
      <c r="A19" s="83" t="s">
        <v>23</v>
      </c>
      <c r="B19" s="146"/>
      <c r="C19" s="109"/>
      <c r="D19" s="147"/>
      <c r="E19" s="146"/>
      <c r="F19" s="109">
        <v>2</v>
      </c>
      <c r="G19" s="147">
        <v>242</v>
      </c>
      <c r="H19" s="146">
        <v>36</v>
      </c>
      <c r="I19" s="109">
        <v>37</v>
      </c>
      <c r="J19" s="154">
        <v>43</v>
      </c>
      <c r="K19" s="153">
        <f t="shared" si="2"/>
        <v>360</v>
      </c>
    </row>
    <row r="20" spans="1:11" ht="17" thickBot="1" x14ac:dyDescent="0.25">
      <c r="A20" s="84" t="s">
        <v>31</v>
      </c>
      <c r="B20" s="129"/>
      <c r="C20" s="130"/>
      <c r="D20" s="131"/>
      <c r="E20" s="129"/>
      <c r="F20" s="130"/>
      <c r="G20" s="131"/>
      <c r="H20" s="129"/>
      <c r="I20" s="130"/>
      <c r="J20" s="132"/>
      <c r="K20" s="133">
        <f t="shared" si="2"/>
        <v>0</v>
      </c>
    </row>
    <row r="21" spans="1:11" ht="17" thickBot="1" x14ac:dyDescent="0.25">
      <c r="A21" s="87" t="s">
        <v>24</v>
      </c>
      <c r="B21" s="139"/>
      <c r="C21" s="137"/>
      <c r="D21" s="138"/>
      <c r="E21" s="139"/>
      <c r="F21" s="137">
        <f>SUM(F16:F19)</f>
        <v>1032</v>
      </c>
      <c r="G21" s="138">
        <f t="shared" ref="G21:J21" si="3">SUM(G16:G19)</f>
        <v>879</v>
      </c>
      <c r="H21" s="139">
        <f t="shared" si="3"/>
        <v>886</v>
      </c>
      <c r="I21" s="137">
        <f t="shared" si="3"/>
        <v>1091</v>
      </c>
      <c r="J21" s="140">
        <f t="shared" si="3"/>
        <v>951</v>
      </c>
      <c r="K21" s="406">
        <f t="shared" si="2"/>
        <v>4839</v>
      </c>
    </row>
    <row r="22" spans="1:11" ht="16" x14ac:dyDescent="0.2">
      <c r="A22" s="86" t="s">
        <v>17</v>
      </c>
      <c r="B22" s="141"/>
      <c r="C22" s="142"/>
      <c r="D22" s="143"/>
      <c r="E22" s="141"/>
      <c r="F22" s="142"/>
      <c r="G22" s="143"/>
      <c r="H22" s="141"/>
      <c r="I22" s="142"/>
      <c r="J22" s="169"/>
      <c r="K22" s="397"/>
    </row>
    <row r="23" spans="1:11" ht="16" x14ac:dyDescent="0.2">
      <c r="A23" s="83" t="s">
        <v>20</v>
      </c>
      <c r="B23" s="146"/>
      <c r="C23" s="109"/>
      <c r="D23" s="147"/>
      <c r="E23" s="146"/>
      <c r="F23" s="170">
        <f>F16/F21</f>
        <v>0.9941860465116279</v>
      </c>
      <c r="G23" s="171">
        <f t="shared" ref="G23:J23" si="4">G16/G21</f>
        <v>0.71331058020477811</v>
      </c>
      <c r="H23" s="172">
        <f t="shared" si="4"/>
        <v>0.91309255079006768</v>
      </c>
      <c r="I23" s="170">
        <f t="shared" si="4"/>
        <v>0.91842346471127401</v>
      </c>
      <c r="J23" s="173">
        <f t="shared" si="4"/>
        <v>0.92113564668769721</v>
      </c>
      <c r="K23" s="174">
        <f>K16/K21</f>
        <v>0.89687952056209963</v>
      </c>
    </row>
    <row r="24" spans="1:11" ht="16" x14ac:dyDescent="0.2">
      <c r="A24" s="83" t="s">
        <v>21</v>
      </c>
      <c r="B24" s="146"/>
      <c r="C24" s="109"/>
      <c r="D24" s="147"/>
      <c r="E24" s="146"/>
      <c r="F24" s="170">
        <f>F17/F21</f>
        <v>2.9069767441860465E-3</v>
      </c>
      <c r="G24" s="171">
        <f t="shared" ref="G24:J24" si="5">G17/G21</f>
        <v>1.1376564277588168E-2</v>
      </c>
      <c r="H24" s="172">
        <f t="shared" si="5"/>
        <v>4.4018058690744918E-2</v>
      </c>
      <c r="I24" s="170">
        <f t="shared" si="5"/>
        <v>4.5829514207149404E-2</v>
      </c>
      <c r="J24" s="173">
        <f t="shared" si="5"/>
        <v>3.3648790746582544E-2</v>
      </c>
      <c r="K24" s="174">
        <f>K17/K21</f>
        <v>2.7691671833023353E-2</v>
      </c>
    </row>
    <row r="25" spans="1:11" ht="32" x14ac:dyDescent="0.2">
      <c r="A25" s="83" t="s">
        <v>22</v>
      </c>
      <c r="B25" s="146"/>
      <c r="C25" s="109"/>
      <c r="D25" s="147"/>
      <c r="E25" s="146"/>
      <c r="F25" s="170">
        <f>F18/F21</f>
        <v>9.6899224806201549E-4</v>
      </c>
      <c r="G25" s="171">
        <f t="shared" ref="G25:J25" si="6">G18/G21</f>
        <v>0</v>
      </c>
      <c r="H25" s="172">
        <f t="shared" si="6"/>
        <v>2.257336343115124E-3</v>
      </c>
      <c r="I25" s="170">
        <f t="shared" si="6"/>
        <v>1.8331805682859762E-3</v>
      </c>
      <c r="J25" s="173">
        <f t="shared" si="6"/>
        <v>0</v>
      </c>
      <c r="K25" s="174">
        <f>K18/K21</f>
        <v>1.0332713370531101E-3</v>
      </c>
    </row>
    <row r="26" spans="1:11" ht="16" x14ac:dyDescent="0.2">
      <c r="A26" s="83" t="s">
        <v>23</v>
      </c>
      <c r="B26" s="146"/>
      <c r="C26" s="109"/>
      <c r="D26" s="147"/>
      <c r="E26" s="146"/>
      <c r="F26" s="170">
        <f>F19/F21</f>
        <v>1.937984496124031E-3</v>
      </c>
      <c r="G26" s="171">
        <f t="shared" ref="G26:J26" si="7">G19/G21</f>
        <v>0.27531285551763368</v>
      </c>
      <c r="H26" s="172">
        <f t="shared" si="7"/>
        <v>4.0632054176072234E-2</v>
      </c>
      <c r="I26" s="170">
        <f t="shared" si="7"/>
        <v>3.3913840513290557E-2</v>
      </c>
      <c r="J26" s="173">
        <f t="shared" si="7"/>
        <v>4.5215562565720298E-2</v>
      </c>
      <c r="K26" s="174">
        <f>K19/K21</f>
        <v>7.4395536267823928E-2</v>
      </c>
    </row>
    <row r="27" spans="1:11" ht="17" thickBot="1" x14ac:dyDescent="0.25">
      <c r="A27" s="88" t="s">
        <v>31</v>
      </c>
      <c r="B27" s="155"/>
      <c r="C27" s="156"/>
      <c r="D27" s="157"/>
      <c r="E27" s="155"/>
      <c r="F27" s="175"/>
      <c r="G27" s="176"/>
      <c r="H27" s="177"/>
      <c r="I27" s="175"/>
      <c r="J27" s="178"/>
      <c r="K27" s="179"/>
    </row>
    <row r="28" spans="1:11" ht="16" thickBot="1" x14ac:dyDescent="0.25">
      <c r="A28" s="89"/>
      <c r="B28" s="163"/>
      <c r="C28" s="164"/>
      <c r="D28" s="165"/>
      <c r="E28" s="163"/>
      <c r="F28" s="164"/>
      <c r="G28" s="165"/>
      <c r="H28" s="163"/>
      <c r="I28" s="164"/>
      <c r="J28" s="180"/>
      <c r="K28" s="168"/>
    </row>
    <row r="29" spans="1:11" ht="17" thickBot="1" x14ac:dyDescent="0.25">
      <c r="A29" s="87" t="s">
        <v>25</v>
      </c>
      <c r="B29" s="120">
        <v>44652</v>
      </c>
      <c r="C29" s="121">
        <v>44682</v>
      </c>
      <c r="D29" s="122">
        <v>44713</v>
      </c>
      <c r="E29" s="120">
        <v>44743</v>
      </c>
      <c r="F29" s="121">
        <v>44774</v>
      </c>
      <c r="G29" s="122">
        <v>44805</v>
      </c>
      <c r="H29" s="120">
        <v>44835</v>
      </c>
      <c r="I29" s="121">
        <v>44866</v>
      </c>
      <c r="J29" s="123">
        <v>44896</v>
      </c>
      <c r="K29" s="406" t="s">
        <v>24</v>
      </c>
    </row>
    <row r="30" spans="1:11" ht="16" x14ac:dyDescent="0.2">
      <c r="A30" s="86" t="s">
        <v>26</v>
      </c>
      <c r="B30" s="141">
        <v>185</v>
      </c>
      <c r="C30" s="142">
        <v>499</v>
      </c>
      <c r="D30" s="143">
        <v>692</v>
      </c>
      <c r="E30" s="141">
        <v>923</v>
      </c>
      <c r="F30" s="142">
        <v>796</v>
      </c>
      <c r="G30" s="143">
        <v>432</v>
      </c>
      <c r="H30" s="141">
        <v>555</v>
      </c>
      <c r="I30" s="142">
        <v>783</v>
      </c>
      <c r="J30" s="169">
        <v>651</v>
      </c>
      <c r="K30" s="397">
        <f>SUM(B30:J30)</f>
        <v>5516</v>
      </c>
    </row>
    <row r="31" spans="1:11" ht="16" x14ac:dyDescent="0.2">
      <c r="A31" s="83" t="s">
        <v>27</v>
      </c>
      <c r="B31" s="146">
        <v>61</v>
      </c>
      <c r="C31" s="109">
        <v>151</v>
      </c>
      <c r="D31" s="147">
        <v>160</v>
      </c>
      <c r="E31" s="146">
        <v>199</v>
      </c>
      <c r="F31" s="109">
        <v>172</v>
      </c>
      <c r="G31" s="147">
        <v>154</v>
      </c>
      <c r="H31" s="146">
        <v>252</v>
      </c>
      <c r="I31" s="109">
        <v>209</v>
      </c>
      <c r="J31" s="154">
        <v>200</v>
      </c>
      <c r="K31" s="153">
        <f>SUM(B31:J31)</f>
        <v>1558</v>
      </c>
    </row>
    <row r="32" spans="1:11" ht="16" x14ac:dyDescent="0.2">
      <c r="A32" s="83" t="s">
        <v>28</v>
      </c>
      <c r="B32" s="146"/>
      <c r="C32" s="109">
        <v>16</v>
      </c>
      <c r="D32" s="147">
        <v>25</v>
      </c>
      <c r="E32" s="146">
        <v>46</v>
      </c>
      <c r="F32" s="109">
        <v>37</v>
      </c>
      <c r="G32" s="147">
        <v>39</v>
      </c>
      <c r="H32" s="146">
        <v>38</v>
      </c>
      <c r="I32" s="109">
        <v>57</v>
      </c>
      <c r="J32" s="154">
        <v>68</v>
      </c>
      <c r="K32" s="153">
        <f>SUM(B32:J32)</f>
        <v>326</v>
      </c>
    </row>
    <row r="33" spans="1:11" ht="16" x14ac:dyDescent="0.2">
      <c r="A33" s="83" t="s">
        <v>32</v>
      </c>
      <c r="B33" s="146">
        <v>3</v>
      </c>
      <c r="C33" s="109">
        <v>1</v>
      </c>
      <c r="D33" s="147">
        <v>1</v>
      </c>
      <c r="E33" s="146">
        <v>5</v>
      </c>
      <c r="F33" s="109">
        <v>2</v>
      </c>
      <c r="G33" s="147">
        <v>6</v>
      </c>
      <c r="H33" s="146">
        <v>9</v>
      </c>
      <c r="I33" s="109">
        <v>3</v>
      </c>
      <c r="J33" s="154">
        <v>2</v>
      </c>
      <c r="K33" s="153">
        <f>SUM(B33:J33)</f>
        <v>32</v>
      </c>
    </row>
    <row r="34" spans="1:11" ht="16" x14ac:dyDescent="0.2">
      <c r="A34" s="83" t="s">
        <v>30</v>
      </c>
      <c r="B34" s="146">
        <v>36</v>
      </c>
      <c r="C34" s="109">
        <v>19</v>
      </c>
      <c r="D34" s="147">
        <v>27</v>
      </c>
      <c r="E34" s="146">
        <v>23</v>
      </c>
      <c r="F34" s="109">
        <v>25</v>
      </c>
      <c r="G34" s="147">
        <v>35</v>
      </c>
      <c r="H34" s="146">
        <v>32</v>
      </c>
      <c r="I34" s="109">
        <v>39</v>
      </c>
      <c r="J34" s="154">
        <v>30</v>
      </c>
      <c r="K34" s="153">
        <f>SUM(B34:J34)</f>
        <v>266</v>
      </c>
    </row>
    <row r="35" spans="1:11" ht="17" thickBot="1" x14ac:dyDescent="0.25">
      <c r="A35" s="84" t="s">
        <v>31</v>
      </c>
      <c r="B35" s="129"/>
      <c r="C35" s="130"/>
      <c r="D35" s="131"/>
      <c r="E35" s="129"/>
      <c r="F35" s="130"/>
      <c r="G35" s="131"/>
      <c r="H35" s="129"/>
      <c r="I35" s="130"/>
      <c r="J35" s="132"/>
      <c r="K35" s="133"/>
    </row>
    <row r="36" spans="1:11" ht="17" thickBot="1" x14ac:dyDescent="0.25">
      <c r="A36" s="87" t="s">
        <v>24</v>
      </c>
      <c r="B36" s="139">
        <f>SUM(B30:B35)</f>
        <v>285</v>
      </c>
      <c r="C36" s="137">
        <f t="shared" ref="C36:J36" si="8">SUM(C30:C35)</f>
        <v>686</v>
      </c>
      <c r="D36" s="138">
        <f t="shared" si="8"/>
        <v>905</v>
      </c>
      <c r="E36" s="139">
        <f t="shared" si="8"/>
        <v>1196</v>
      </c>
      <c r="F36" s="137">
        <f t="shared" si="8"/>
        <v>1032</v>
      </c>
      <c r="G36" s="138">
        <f t="shared" si="8"/>
        <v>666</v>
      </c>
      <c r="H36" s="139">
        <f t="shared" si="8"/>
        <v>886</v>
      </c>
      <c r="I36" s="137">
        <f t="shared" si="8"/>
        <v>1091</v>
      </c>
      <c r="J36" s="140">
        <f t="shared" si="8"/>
        <v>951</v>
      </c>
      <c r="K36" s="406">
        <f>SUM(B36:J36)</f>
        <v>7698</v>
      </c>
    </row>
    <row r="37" spans="1:11" ht="16" x14ac:dyDescent="0.2">
      <c r="A37" s="86" t="s">
        <v>17</v>
      </c>
      <c r="B37" s="181"/>
      <c r="C37" s="182"/>
      <c r="D37" s="183"/>
      <c r="E37" s="181"/>
      <c r="F37" s="182"/>
      <c r="G37" s="183"/>
      <c r="H37" s="181"/>
      <c r="I37" s="182"/>
      <c r="J37" s="184"/>
      <c r="K37" s="185"/>
    </row>
    <row r="38" spans="1:11" ht="16" x14ac:dyDescent="0.2">
      <c r="A38" s="83" t="s">
        <v>26</v>
      </c>
      <c r="B38" s="172">
        <f>B30/B36</f>
        <v>0.64912280701754388</v>
      </c>
      <c r="C38" s="170">
        <f t="shared" ref="C38:J38" si="9">C30/C36</f>
        <v>0.72740524781341109</v>
      </c>
      <c r="D38" s="171">
        <f t="shared" si="9"/>
        <v>0.76464088397790053</v>
      </c>
      <c r="E38" s="172">
        <f t="shared" si="9"/>
        <v>0.77173913043478259</v>
      </c>
      <c r="F38" s="170">
        <f t="shared" si="9"/>
        <v>0.77131782945736438</v>
      </c>
      <c r="G38" s="171">
        <f t="shared" si="9"/>
        <v>0.64864864864864868</v>
      </c>
      <c r="H38" s="172">
        <f t="shared" si="9"/>
        <v>0.62641083521444696</v>
      </c>
      <c r="I38" s="170">
        <f t="shared" si="9"/>
        <v>0.71769019248395971</v>
      </c>
      <c r="J38" s="173">
        <f t="shared" si="9"/>
        <v>0.68454258675078861</v>
      </c>
      <c r="K38" s="174">
        <f>K30/K36</f>
        <v>0.7165497531826448</v>
      </c>
    </row>
    <row r="39" spans="1:11" ht="16" x14ac:dyDescent="0.2">
      <c r="A39" s="83" t="s">
        <v>27</v>
      </c>
      <c r="B39" s="172">
        <f>B31/B36</f>
        <v>0.21403508771929824</v>
      </c>
      <c r="C39" s="170">
        <f t="shared" ref="C39:J39" si="10">C31/C36</f>
        <v>0.22011661807580174</v>
      </c>
      <c r="D39" s="171">
        <f t="shared" si="10"/>
        <v>0.17679558011049723</v>
      </c>
      <c r="E39" s="172">
        <f t="shared" si="10"/>
        <v>0.16638795986622074</v>
      </c>
      <c r="F39" s="170">
        <f t="shared" si="10"/>
        <v>0.16666666666666666</v>
      </c>
      <c r="G39" s="171">
        <f t="shared" si="10"/>
        <v>0.23123123123123124</v>
      </c>
      <c r="H39" s="172">
        <f t="shared" si="10"/>
        <v>0.28442437923250563</v>
      </c>
      <c r="I39" s="170">
        <f t="shared" si="10"/>
        <v>0.19156736938588451</v>
      </c>
      <c r="J39" s="173">
        <f t="shared" si="10"/>
        <v>0.2103049421661409</v>
      </c>
      <c r="K39" s="174">
        <f>K31/K36</f>
        <v>0.20239023122889063</v>
      </c>
    </row>
    <row r="40" spans="1:11" ht="16" x14ac:dyDescent="0.2">
      <c r="A40" s="83" t="s">
        <v>28</v>
      </c>
      <c r="B40" s="172">
        <f>B32/B36</f>
        <v>0</v>
      </c>
      <c r="C40" s="170">
        <f t="shared" ref="C40:J40" si="11">C32/C36</f>
        <v>2.3323615160349854E-2</v>
      </c>
      <c r="D40" s="171">
        <f t="shared" si="11"/>
        <v>2.7624309392265192E-2</v>
      </c>
      <c r="E40" s="172">
        <f t="shared" si="11"/>
        <v>3.8461538461538464E-2</v>
      </c>
      <c r="F40" s="170">
        <f t="shared" si="11"/>
        <v>3.5852713178294575E-2</v>
      </c>
      <c r="G40" s="171">
        <f t="shared" si="11"/>
        <v>5.8558558558558557E-2</v>
      </c>
      <c r="H40" s="172">
        <f t="shared" si="11"/>
        <v>4.2889390519187359E-2</v>
      </c>
      <c r="I40" s="170">
        <f t="shared" si="11"/>
        <v>5.2245646196150318E-2</v>
      </c>
      <c r="J40" s="173">
        <f t="shared" si="11"/>
        <v>7.1503680336487907E-2</v>
      </c>
      <c r="K40" s="174">
        <f>K32/K36</f>
        <v>4.2348661990127309E-2</v>
      </c>
    </row>
    <row r="41" spans="1:11" ht="16" x14ac:dyDescent="0.2">
      <c r="A41" s="83" t="s">
        <v>32</v>
      </c>
      <c r="B41" s="172">
        <f>B33/B36</f>
        <v>1.0526315789473684E-2</v>
      </c>
      <c r="C41" s="170">
        <f t="shared" ref="C41:J41" si="12">C33/C36</f>
        <v>1.4577259475218659E-3</v>
      </c>
      <c r="D41" s="171">
        <f t="shared" si="12"/>
        <v>1.1049723756906078E-3</v>
      </c>
      <c r="E41" s="172">
        <f t="shared" si="12"/>
        <v>4.180602006688963E-3</v>
      </c>
      <c r="F41" s="170">
        <f t="shared" si="12"/>
        <v>1.937984496124031E-3</v>
      </c>
      <c r="G41" s="171">
        <f t="shared" si="12"/>
        <v>9.0090090090090089E-3</v>
      </c>
      <c r="H41" s="172">
        <f t="shared" si="12"/>
        <v>1.0158013544018058E-2</v>
      </c>
      <c r="I41" s="170">
        <f t="shared" si="12"/>
        <v>2.7497708524289641E-3</v>
      </c>
      <c r="J41" s="173">
        <f t="shared" si="12"/>
        <v>2.103049421661409E-3</v>
      </c>
      <c r="K41" s="174">
        <f>K33/K36</f>
        <v>4.156923876331515E-3</v>
      </c>
    </row>
    <row r="42" spans="1:11" ht="16" x14ac:dyDescent="0.2">
      <c r="A42" s="83" t="s">
        <v>30</v>
      </c>
      <c r="B42" s="172">
        <f>B34/B36</f>
        <v>0.12631578947368421</v>
      </c>
      <c r="C42" s="170">
        <f t="shared" ref="C42:J42" si="13">C34/C36</f>
        <v>2.7696793002915453E-2</v>
      </c>
      <c r="D42" s="171">
        <f t="shared" si="13"/>
        <v>2.9834254143646408E-2</v>
      </c>
      <c r="E42" s="172">
        <f t="shared" si="13"/>
        <v>1.9230769230769232E-2</v>
      </c>
      <c r="F42" s="170">
        <f t="shared" si="13"/>
        <v>2.4224806201550389E-2</v>
      </c>
      <c r="G42" s="171">
        <f t="shared" si="13"/>
        <v>5.2552552552552555E-2</v>
      </c>
      <c r="H42" s="172">
        <f t="shared" si="13"/>
        <v>3.6117381489841983E-2</v>
      </c>
      <c r="I42" s="170">
        <f t="shared" si="13"/>
        <v>3.5747021081576534E-2</v>
      </c>
      <c r="J42" s="173">
        <f t="shared" si="13"/>
        <v>3.1545741324921134E-2</v>
      </c>
      <c r="K42" s="174">
        <f>K34/K36</f>
        <v>3.4554429722005717E-2</v>
      </c>
    </row>
    <row r="43" spans="1:11" ht="17" thickBot="1" x14ac:dyDescent="0.25">
      <c r="A43" s="88" t="s">
        <v>31</v>
      </c>
      <c r="B43" s="160">
        <f>B35/B36</f>
        <v>0</v>
      </c>
      <c r="C43" s="158">
        <f t="shared" ref="C43:J43" si="14">C35/C36</f>
        <v>0</v>
      </c>
      <c r="D43" s="159">
        <f t="shared" si="14"/>
        <v>0</v>
      </c>
      <c r="E43" s="160">
        <f t="shared" si="14"/>
        <v>0</v>
      </c>
      <c r="F43" s="158">
        <f t="shared" si="14"/>
        <v>0</v>
      </c>
      <c r="G43" s="159">
        <f t="shared" si="14"/>
        <v>0</v>
      </c>
      <c r="H43" s="160">
        <f t="shared" si="14"/>
        <v>0</v>
      </c>
      <c r="I43" s="158">
        <f t="shared" si="14"/>
        <v>0</v>
      </c>
      <c r="J43" s="161">
        <f t="shared" si="14"/>
        <v>0</v>
      </c>
      <c r="K43" s="162">
        <f>K35/K36</f>
        <v>0</v>
      </c>
    </row>
    <row r="44" spans="1:11" ht="16" thickBot="1" x14ac:dyDescent="0.25">
      <c r="A44" s="89"/>
      <c r="B44" s="186"/>
      <c r="C44" s="166"/>
      <c r="D44" s="187"/>
      <c r="E44" s="186"/>
      <c r="F44" s="166"/>
      <c r="G44" s="187"/>
      <c r="H44" s="186"/>
      <c r="I44" s="166"/>
      <c r="J44" s="167"/>
      <c r="K44" s="168"/>
    </row>
    <row r="45" spans="1:11" ht="17" thickBot="1" x14ac:dyDescent="0.25">
      <c r="A45" s="87" t="s">
        <v>33</v>
      </c>
      <c r="B45" s="120">
        <v>44652</v>
      </c>
      <c r="C45" s="121">
        <v>44682</v>
      </c>
      <c r="D45" s="122">
        <v>44713</v>
      </c>
      <c r="E45" s="120">
        <v>44743</v>
      </c>
      <c r="F45" s="121">
        <v>44774</v>
      </c>
      <c r="G45" s="122">
        <v>44805</v>
      </c>
      <c r="H45" s="120">
        <v>44835</v>
      </c>
      <c r="I45" s="121">
        <v>44866</v>
      </c>
      <c r="J45" s="123">
        <v>44896</v>
      </c>
      <c r="K45" s="406" t="s">
        <v>24</v>
      </c>
    </row>
    <row r="46" spans="1:11" ht="16" x14ac:dyDescent="0.2">
      <c r="A46" s="86" t="s">
        <v>34</v>
      </c>
      <c r="B46" s="141">
        <v>278</v>
      </c>
      <c r="C46" s="142">
        <v>677</v>
      </c>
      <c r="D46" s="143">
        <v>890</v>
      </c>
      <c r="E46" s="141">
        <v>1178</v>
      </c>
      <c r="F46" s="142">
        <v>1005</v>
      </c>
      <c r="G46" s="143">
        <v>654</v>
      </c>
      <c r="H46" s="141">
        <f>638+214</f>
        <v>852</v>
      </c>
      <c r="I46" s="142">
        <v>1062</v>
      </c>
      <c r="J46" s="169">
        <v>908</v>
      </c>
      <c r="K46" s="397">
        <f t="shared" ref="K46:K53" si="15">SUM(B46:J46)</f>
        <v>7504</v>
      </c>
    </row>
    <row r="47" spans="1:11" ht="32" x14ac:dyDescent="0.2">
      <c r="A47" s="83" t="s">
        <v>35</v>
      </c>
      <c r="B47" s="146"/>
      <c r="C47" s="109">
        <v>1</v>
      </c>
      <c r="D47" s="147">
        <v>1</v>
      </c>
      <c r="E47" s="146">
        <v>1</v>
      </c>
      <c r="F47" s="109">
        <v>1</v>
      </c>
      <c r="G47" s="147">
        <v>1</v>
      </c>
      <c r="H47" s="146">
        <v>5</v>
      </c>
      <c r="I47" s="109">
        <v>1</v>
      </c>
      <c r="J47" s="154">
        <v>4</v>
      </c>
      <c r="K47" s="153">
        <f t="shared" si="15"/>
        <v>15</v>
      </c>
    </row>
    <row r="48" spans="1:11" ht="32" x14ac:dyDescent="0.2">
      <c r="A48" s="83" t="s">
        <v>36</v>
      </c>
      <c r="B48" s="146">
        <v>6</v>
      </c>
      <c r="C48" s="109">
        <v>3</v>
      </c>
      <c r="D48" s="147">
        <v>5</v>
      </c>
      <c r="E48" s="146">
        <v>3</v>
      </c>
      <c r="F48" s="109">
        <v>6</v>
      </c>
      <c r="G48" s="147">
        <v>1</v>
      </c>
      <c r="H48" s="146">
        <v>10</v>
      </c>
      <c r="I48" s="109">
        <v>4</v>
      </c>
      <c r="J48" s="154">
        <v>5</v>
      </c>
      <c r="K48" s="153">
        <f t="shared" si="15"/>
        <v>43</v>
      </c>
    </row>
    <row r="49" spans="1:11" ht="32" x14ac:dyDescent="0.2">
      <c r="A49" s="83" t="s">
        <v>37</v>
      </c>
      <c r="B49" s="146"/>
      <c r="C49" s="109"/>
      <c r="D49" s="147"/>
      <c r="E49" s="146"/>
      <c r="F49" s="109"/>
      <c r="G49" s="147"/>
      <c r="H49" s="146"/>
      <c r="I49" s="109"/>
      <c r="J49" s="154"/>
      <c r="K49" s="153">
        <f t="shared" si="15"/>
        <v>0</v>
      </c>
    </row>
    <row r="50" spans="1:11" ht="16" x14ac:dyDescent="0.2">
      <c r="A50" s="83" t="s">
        <v>39</v>
      </c>
      <c r="B50" s="146">
        <v>1</v>
      </c>
      <c r="C50" s="109">
        <v>2</v>
      </c>
      <c r="D50" s="147">
        <v>3</v>
      </c>
      <c r="E50" s="146">
        <v>12</v>
      </c>
      <c r="F50" s="109">
        <v>13</v>
      </c>
      <c r="G50" s="147">
        <v>9</v>
      </c>
      <c r="H50" s="146">
        <v>17</v>
      </c>
      <c r="I50" s="109">
        <v>16</v>
      </c>
      <c r="J50" s="154">
        <v>21</v>
      </c>
      <c r="K50" s="153">
        <f t="shared" si="15"/>
        <v>94</v>
      </c>
    </row>
    <row r="51" spans="1:11" ht="16" x14ac:dyDescent="0.2">
      <c r="A51" s="83" t="s">
        <v>30</v>
      </c>
      <c r="B51" s="146"/>
      <c r="C51" s="109"/>
      <c r="D51" s="147"/>
      <c r="E51" s="146"/>
      <c r="F51" s="109"/>
      <c r="G51" s="147"/>
      <c r="H51" s="146"/>
      <c r="I51" s="109"/>
      <c r="J51" s="154"/>
      <c r="K51" s="153">
        <f t="shared" si="15"/>
        <v>0</v>
      </c>
    </row>
    <row r="52" spans="1:11" ht="17" thickBot="1" x14ac:dyDescent="0.25">
      <c r="A52" s="84" t="s">
        <v>31</v>
      </c>
      <c r="B52" s="129">
        <v>3</v>
      </c>
      <c r="C52" s="130">
        <v>3</v>
      </c>
      <c r="D52" s="131">
        <v>7</v>
      </c>
      <c r="E52" s="129">
        <v>2</v>
      </c>
      <c r="F52" s="130">
        <v>7</v>
      </c>
      <c r="G52" s="131">
        <v>1</v>
      </c>
      <c r="H52" s="129">
        <v>2</v>
      </c>
      <c r="I52" s="130">
        <v>8</v>
      </c>
      <c r="J52" s="132">
        <v>13</v>
      </c>
      <c r="K52" s="133">
        <f t="shared" si="15"/>
        <v>46</v>
      </c>
    </row>
    <row r="53" spans="1:11" ht="17" thickBot="1" x14ac:dyDescent="0.25">
      <c r="A53" s="87" t="s">
        <v>24</v>
      </c>
      <c r="B53" s="139">
        <f>SUM(B46:B52)</f>
        <v>288</v>
      </c>
      <c r="C53" s="137">
        <f t="shared" ref="C53:J53" si="16">SUM(C46:C52)</f>
        <v>686</v>
      </c>
      <c r="D53" s="138">
        <f t="shared" si="16"/>
        <v>906</v>
      </c>
      <c r="E53" s="139">
        <f t="shared" si="16"/>
        <v>1196</v>
      </c>
      <c r="F53" s="137">
        <f t="shared" si="16"/>
        <v>1032</v>
      </c>
      <c r="G53" s="138">
        <f t="shared" si="16"/>
        <v>666</v>
      </c>
      <c r="H53" s="139">
        <f t="shared" si="16"/>
        <v>886</v>
      </c>
      <c r="I53" s="137">
        <f t="shared" si="16"/>
        <v>1091</v>
      </c>
      <c r="J53" s="140">
        <f t="shared" si="16"/>
        <v>951</v>
      </c>
      <c r="K53" s="406">
        <f t="shared" si="15"/>
        <v>7702</v>
      </c>
    </row>
    <row r="54" spans="1:11" ht="16" x14ac:dyDescent="0.2">
      <c r="A54" s="86" t="s">
        <v>17</v>
      </c>
      <c r="B54" s="141"/>
      <c r="C54" s="142"/>
      <c r="D54" s="143"/>
      <c r="E54" s="141"/>
      <c r="F54" s="142"/>
      <c r="G54" s="143"/>
      <c r="H54" s="141"/>
      <c r="I54" s="142"/>
      <c r="J54" s="169"/>
      <c r="K54" s="397"/>
    </row>
    <row r="55" spans="1:11" ht="16" x14ac:dyDescent="0.2">
      <c r="A55" s="83" t="s">
        <v>34</v>
      </c>
      <c r="B55" s="172">
        <f>B46/B53</f>
        <v>0.96527777777777779</v>
      </c>
      <c r="C55" s="170">
        <f t="shared" ref="C55:J55" si="17">C46/C53</f>
        <v>0.98688046647230321</v>
      </c>
      <c r="D55" s="171">
        <f t="shared" si="17"/>
        <v>0.98233995584988965</v>
      </c>
      <c r="E55" s="172">
        <f t="shared" si="17"/>
        <v>0.98494983277591974</v>
      </c>
      <c r="F55" s="170">
        <f t="shared" si="17"/>
        <v>0.97383720930232553</v>
      </c>
      <c r="G55" s="171">
        <f t="shared" si="17"/>
        <v>0.98198198198198194</v>
      </c>
      <c r="H55" s="172">
        <f t="shared" si="17"/>
        <v>0.96162528216704291</v>
      </c>
      <c r="I55" s="170">
        <f t="shared" si="17"/>
        <v>0.97341888175985336</v>
      </c>
      <c r="J55" s="173">
        <f t="shared" si="17"/>
        <v>0.95478443743427965</v>
      </c>
      <c r="K55" s="174">
        <f>K46/K53</f>
        <v>0.97429239158660086</v>
      </c>
    </row>
    <row r="56" spans="1:11" ht="32" x14ac:dyDescent="0.2">
      <c r="A56" s="83" t="s">
        <v>35</v>
      </c>
      <c r="B56" s="172">
        <f>B47/B53</f>
        <v>0</v>
      </c>
      <c r="C56" s="170">
        <f t="shared" ref="C56:J56" si="18">C47/C53</f>
        <v>1.4577259475218659E-3</v>
      </c>
      <c r="D56" s="171">
        <f t="shared" si="18"/>
        <v>1.1037527593818985E-3</v>
      </c>
      <c r="E56" s="172">
        <f t="shared" si="18"/>
        <v>8.3612040133779263E-4</v>
      </c>
      <c r="F56" s="170">
        <f t="shared" si="18"/>
        <v>9.6899224806201549E-4</v>
      </c>
      <c r="G56" s="171">
        <f t="shared" si="18"/>
        <v>1.5015015015015015E-3</v>
      </c>
      <c r="H56" s="172">
        <f t="shared" si="18"/>
        <v>5.6433408577878106E-3</v>
      </c>
      <c r="I56" s="170">
        <f t="shared" si="18"/>
        <v>9.1659028414298811E-4</v>
      </c>
      <c r="J56" s="173">
        <f t="shared" si="18"/>
        <v>4.206098843322818E-3</v>
      </c>
      <c r="K56" s="174">
        <f>K47/K53</f>
        <v>1.9475460919241756E-3</v>
      </c>
    </row>
    <row r="57" spans="1:11" ht="32" x14ac:dyDescent="0.2">
      <c r="A57" s="83" t="s">
        <v>36</v>
      </c>
      <c r="B57" s="172">
        <f>B48/B53</f>
        <v>2.0833333333333332E-2</v>
      </c>
      <c r="C57" s="170">
        <f t="shared" ref="C57:J57" si="19">C48/C53</f>
        <v>4.3731778425655978E-3</v>
      </c>
      <c r="D57" s="171">
        <f t="shared" si="19"/>
        <v>5.5187637969094927E-3</v>
      </c>
      <c r="E57" s="172">
        <f t="shared" si="19"/>
        <v>2.508361204013378E-3</v>
      </c>
      <c r="F57" s="170">
        <f t="shared" si="19"/>
        <v>5.8139534883720929E-3</v>
      </c>
      <c r="G57" s="171">
        <f t="shared" si="19"/>
        <v>1.5015015015015015E-3</v>
      </c>
      <c r="H57" s="172">
        <f t="shared" si="19"/>
        <v>1.1286681715575621E-2</v>
      </c>
      <c r="I57" s="170">
        <f t="shared" si="19"/>
        <v>3.6663611365719525E-3</v>
      </c>
      <c r="J57" s="173">
        <f t="shared" si="19"/>
        <v>5.2576235541535229E-3</v>
      </c>
      <c r="K57" s="174">
        <f>K48/K53</f>
        <v>5.58296546351597E-3</v>
      </c>
    </row>
    <row r="58" spans="1:11" ht="32" x14ac:dyDescent="0.2">
      <c r="A58" s="83" t="s">
        <v>37</v>
      </c>
      <c r="B58" s="172">
        <f>B49/B53</f>
        <v>0</v>
      </c>
      <c r="C58" s="170">
        <f t="shared" ref="C58:J58" si="20">C49/C53</f>
        <v>0</v>
      </c>
      <c r="D58" s="171">
        <f t="shared" si="20"/>
        <v>0</v>
      </c>
      <c r="E58" s="172">
        <f t="shared" si="20"/>
        <v>0</v>
      </c>
      <c r="F58" s="170">
        <f t="shared" si="20"/>
        <v>0</v>
      </c>
      <c r="G58" s="171">
        <f t="shared" si="20"/>
        <v>0</v>
      </c>
      <c r="H58" s="172">
        <f t="shared" si="20"/>
        <v>0</v>
      </c>
      <c r="I58" s="170">
        <f t="shared" si="20"/>
        <v>0</v>
      </c>
      <c r="J58" s="173">
        <f t="shared" si="20"/>
        <v>0</v>
      </c>
      <c r="K58" s="174">
        <f>K49/K53</f>
        <v>0</v>
      </c>
    </row>
    <row r="59" spans="1:11" ht="16" x14ac:dyDescent="0.2">
      <c r="A59" s="83" t="s">
        <v>39</v>
      </c>
      <c r="B59" s="172">
        <f>B50/B53</f>
        <v>3.472222222222222E-3</v>
      </c>
      <c r="C59" s="170">
        <f t="shared" ref="C59:J59" si="21">C50/C53</f>
        <v>2.9154518950437317E-3</v>
      </c>
      <c r="D59" s="171">
        <f t="shared" si="21"/>
        <v>3.3112582781456954E-3</v>
      </c>
      <c r="E59" s="172">
        <f t="shared" si="21"/>
        <v>1.0033444816053512E-2</v>
      </c>
      <c r="F59" s="170">
        <f t="shared" si="21"/>
        <v>1.2596899224806201E-2</v>
      </c>
      <c r="G59" s="171">
        <f t="shared" si="21"/>
        <v>1.3513513513513514E-2</v>
      </c>
      <c r="H59" s="172">
        <f t="shared" si="21"/>
        <v>1.9187358916478554E-2</v>
      </c>
      <c r="I59" s="170">
        <f t="shared" si="21"/>
        <v>1.466544454628781E-2</v>
      </c>
      <c r="J59" s="173">
        <f t="shared" si="21"/>
        <v>2.2082018927444796E-2</v>
      </c>
      <c r="K59" s="174">
        <f>K50/K53</f>
        <v>1.2204622176058166E-2</v>
      </c>
    </row>
    <row r="60" spans="1:11" ht="16" x14ac:dyDescent="0.2">
      <c r="A60" s="83" t="s">
        <v>30</v>
      </c>
      <c r="B60" s="172">
        <f>B51/B53</f>
        <v>0</v>
      </c>
      <c r="C60" s="170">
        <f t="shared" ref="C60:J60" si="22">C51/C53</f>
        <v>0</v>
      </c>
      <c r="D60" s="171">
        <f t="shared" si="22"/>
        <v>0</v>
      </c>
      <c r="E60" s="172">
        <f t="shared" si="22"/>
        <v>0</v>
      </c>
      <c r="F60" s="170">
        <f t="shared" si="22"/>
        <v>0</v>
      </c>
      <c r="G60" s="171">
        <f t="shared" si="22"/>
        <v>0</v>
      </c>
      <c r="H60" s="172">
        <f t="shared" si="22"/>
        <v>0</v>
      </c>
      <c r="I60" s="170">
        <f t="shared" si="22"/>
        <v>0</v>
      </c>
      <c r="J60" s="173">
        <f t="shared" si="22"/>
        <v>0</v>
      </c>
      <c r="K60" s="174">
        <f>K51/K53</f>
        <v>0</v>
      </c>
    </row>
    <row r="61" spans="1:11" ht="17" thickBot="1" x14ac:dyDescent="0.25">
      <c r="A61" s="88" t="s">
        <v>31</v>
      </c>
      <c r="B61" s="160">
        <f>B52/B53</f>
        <v>1.0416666666666666E-2</v>
      </c>
      <c r="C61" s="158">
        <f t="shared" ref="C61:J61" si="23">C52/C53</f>
        <v>4.3731778425655978E-3</v>
      </c>
      <c r="D61" s="159">
        <f t="shared" si="23"/>
        <v>7.7262693156732896E-3</v>
      </c>
      <c r="E61" s="160">
        <f t="shared" si="23"/>
        <v>1.6722408026755853E-3</v>
      </c>
      <c r="F61" s="158">
        <f t="shared" si="23"/>
        <v>6.7829457364341084E-3</v>
      </c>
      <c r="G61" s="159">
        <f t="shared" si="23"/>
        <v>1.5015015015015015E-3</v>
      </c>
      <c r="H61" s="160">
        <f t="shared" si="23"/>
        <v>2.257336343115124E-3</v>
      </c>
      <c r="I61" s="158">
        <f t="shared" si="23"/>
        <v>7.3327222731439049E-3</v>
      </c>
      <c r="J61" s="161">
        <f t="shared" si="23"/>
        <v>1.3669821240799159E-2</v>
      </c>
      <c r="K61" s="162">
        <f>K52/K53</f>
        <v>5.9724746819008051E-3</v>
      </c>
    </row>
    <row r="62" spans="1:11" ht="16" thickBot="1" x14ac:dyDescent="0.25">
      <c r="A62" s="89"/>
      <c r="B62" s="186"/>
      <c r="C62" s="166"/>
      <c r="D62" s="187"/>
      <c r="E62" s="186"/>
      <c r="F62" s="166"/>
      <c r="G62" s="187"/>
      <c r="H62" s="186"/>
      <c r="I62" s="166"/>
      <c r="J62" s="167"/>
      <c r="K62" s="168"/>
    </row>
    <row r="63" spans="1:11" ht="17" thickBot="1" x14ac:dyDescent="0.25">
      <c r="A63" s="87" t="s">
        <v>40</v>
      </c>
      <c r="B63" s="120">
        <v>44652</v>
      </c>
      <c r="C63" s="121">
        <v>44682</v>
      </c>
      <c r="D63" s="122">
        <v>44713</v>
      </c>
      <c r="E63" s="120">
        <v>44743</v>
      </c>
      <c r="F63" s="121">
        <v>44774</v>
      </c>
      <c r="G63" s="122">
        <v>44805</v>
      </c>
      <c r="H63" s="120">
        <v>44835</v>
      </c>
      <c r="I63" s="121">
        <v>44866</v>
      </c>
      <c r="J63" s="123">
        <v>44896</v>
      </c>
      <c r="K63" s="406" t="s">
        <v>24</v>
      </c>
    </row>
    <row r="64" spans="1:11" ht="16" x14ac:dyDescent="0.2">
      <c r="A64" s="86" t="s">
        <v>41</v>
      </c>
      <c r="B64" s="141">
        <v>73</v>
      </c>
      <c r="C64" s="142">
        <v>165</v>
      </c>
      <c r="D64" s="143">
        <v>244</v>
      </c>
      <c r="E64" s="141">
        <v>231</v>
      </c>
      <c r="F64" s="142">
        <v>285</v>
      </c>
      <c r="G64" s="143">
        <v>101</v>
      </c>
      <c r="H64" s="141">
        <v>110</v>
      </c>
      <c r="I64" s="142">
        <v>181</v>
      </c>
      <c r="J64" s="169">
        <v>203</v>
      </c>
      <c r="K64" s="397">
        <f t="shared" ref="K64:K71" si="24">SUM(B64:J64)</f>
        <v>1593</v>
      </c>
    </row>
    <row r="65" spans="1:11" ht="16" x14ac:dyDescent="0.2">
      <c r="A65" s="83" t="s">
        <v>42</v>
      </c>
      <c r="B65" s="146">
        <v>117</v>
      </c>
      <c r="C65" s="109">
        <v>259</v>
      </c>
      <c r="D65" s="147">
        <v>273</v>
      </c>
      <c r="E65" s="146">
        <v>357</v>
      </c>
      <c r="F65" s="109">
        <v>196</v>
      </c>
      <c r="G65" s="147">
        <v>107</v>
      </c>
      <c r="H65" s="146">
        <v>146</v>
      </c>
      <c r="I65" s="109">
        <v>183</v>
      </c>
      <c r="J65" s="154">
        <v>128</v>
      </c>
      <c r="K65" s="153">
        <f t="shared" si="24"/>
        <v>1766</v>
      </c>
    </row>
    <row r="66" spans="1:11" ht="16" x14ac:dyDescent="0.2">
      <c r="A66" s="83" t="s">
        <v>43</v>
      </c>
      <c r="B66" s="146">
        <v>83</v>
      </c>
      <c r="C66" s="109">
        <v>207</v>
      </c>
      <c r="D66" s="147">
        <v>275</v>
      </c>
      <c r="E66" s="146">
        <v>375</v>
      </c>
      <c r="F66" s="109">
        <v>275</v>
      </c>
      <c r="G66" s="147">
        <v>144</v>
      </c>
      <c r="H66" s="146">
        <v>166</v>
      </c>
      <c r="I66" s="109">
        <v>190</v>
      </c>
      <c r="J66" s="154">
        <v>134</v>
      </c>
      <c r="K66" s="153">
        <f t="shared" si="24"/>
        <v>1849</v>
      </c>
    </row>
    <row r="67" spans="1:11" ht="16" x14ac:dyDescent="0.2">
      <c r="A67" s="83" t="s">
        <v>44</v>
      </c>
      <c r="B67" s="146">
        <v>0</v>
      </c>
      <c r="C67" s="109">
        <v>5</v>
      </c>
      <c r="D67" s="147">
        <v>0</v>
      </c>
      <c r="E67" s="146">
        <v>1</v>
      </c>
      <c r="F67" s="109">
        <v>2</v>
      </c>
      <c r="G67" s="147">
        <v>71</v>
      </c>
      <c r="H67" s="146">
        <v>97</v>
      </c>
      <c r="I67" s="109">
        <v>131</v>
      </c>
      <c r="J67" s="154">
        <v>127</v>
      </c>
      <c r="K67" s="153">
        <f t="shared" si="24"/>
        <v>434</v>
      </c>
    </row>
    <row r="68" spans="1:11" ht="16" x14ac:dyDescent="0.2">
      <c r="A68" s="83" t="s">
        <v>45</v>
      </c>
      <c r="B68" s="146">
        <v>5</v>
      </c>
      <c r="C68" s="109">
        <v>21</v>
      </c>
      <c r="D68" s="147">
        <v>62</v>
      </c>
      <c r="E68" s="146">
        <v>160</v>
      </c>
      <c r="F68" s="109">
        <v>168</v>
      </c>
      <c r="G68" s="147">
        <v>72</v>
      </c>
      <c r="H68" s="146">
        <v>106</v>
      </c>
      <c r="I68" s="109">
        <v>130</v>
      </c>
      <c r="J68" s="154">
        <v>93</v>
      </c>
      <c r="K68" s="153">
        <f t="shared" si="24"/>
        <v>817</v>
      </c>
    </row>
    <row r="69" spans="1:11" ht="16" x14ac:dyDescent="0.2">
      <c r="A69" s="83" t="s">
        <v>46</v>
      </c>
      <c r="B69" s="146">
        <v>1</v>
      </c>
      <c r="C69" s="109">
        <v>20</v>
      </c>
      <c r="D69" s="147">
        <v>36</v>
      </c>
      <c r="E69" s="146">
        <v>52</v>
      </c>
      <c r="F69" s="109">
        <v>90</v>
      </c>
      <c r="G69" s="147">
        <v>160</v>
      </c>
      <c r="H69" s="146">
        <v>243</v>
      </c>
      <c r="I69" s="109">
        <v>264</v>
      </c>
      <c r="J69" s="154">
        <v>233</v>
      </c>
      <c r="K69" s="153">
        <f t="shared" si="24"/>
        <v>1099</v>
      </c>
    </row>
    <row r="70" spans="1:11" ht="16" x14ac:dyDescent="0.2">
      <c r="A70" s="83" t="s">
        <v>47</v>
      </c>
      <c r="B70" s="146"/>
      <c r="C70" s="109"/>
      <c r="D70" s="147"/>
      <c r="E70" s="146"/>
      <c r="F70" s="109"/>
      <c r="G70" s="147"/>
      <c r="H70" s="146"/>
      <c r="I70" s="109"/>
      <c r="J70" s="154">
        <v>1</v>
      </c>
      <c r="K70" s="153">
        <f t="shared" si="24"/>
        <v>1</v>
      </c>
    </row>
    <row r="71" spans="1:11" ht="17" thickBot="1" x14ac:dyDescent="0.25">
      <c r="A71" s="84" t="s">
        <v>31</v>
      </c>
      <c r="B71" s="129">
        <v>10</v>
      </c>
      <c r="C71" s="130">
        <v>9</v>
      </c>
      <c r="D71" s="131">
        <v>16</v>
      </c>
      <c r="E71" s="129">
        <v>19</v>
      </c>
      <c r="F71" s="130">
        <v>15</v>
      </c>
      <c r="G71" s="131">
        <v>10</v>
      </c>
      <c r="H71" s="129">
        <v>14</v>
      </c>
      <c r="I71" s="130">
        <v>12</v>
      </c>
      <c r="J71" s="132">
        <v>32</v>
      </c>
      <c r="K71" s="133">
        <f t="shared" si="24"/>
        <v>137</v>
      </c>
    </row>
    <row r="72" spans="1:11" ht="17" thickBot="1" x14ac:dyDescent="0.25">
      <c r="A72" s="87" t="s">
        <v>24</v>
      </c>
      <c r="B72" s="139">
        <f t="shared" ref="B72:I72" si="25">SUM(B64:B71)</f>
        <v>289</v>
      </c>
      <c r="C72" s="137">
        <f t="shared" si="25"/>
        <v>686</v>
      </c>
      <c r="D72" s="138">
        <f t="shared" si="25"/>
        <v>906</v>
      </c>
      <c r="E72" s="139">
        <f t="shared" si="25"/>
        <v>1195</v>
      </c>
      <c r="F72" s="137">
        <f t="shared" si="25"/>
        <v>1031</v>
      </c>
      <c r="G72" s="138">
        <f t="shared" si="25"/>
        <v>665</v>
      </c>
      <c r="H72" s="139">
        <f t="shared" si="25"/>
        <v>882</v>
      </c>
      <c r="I72" s="137">
        <f t="shared" si="25"/>
        <v>1091</v>
      </c>
      <c r="J72" s="140">
        <f ca="1">SUM(J$65:J$72)</f>
        <v>951</v>
      </c>
      <c r="K72" s="406">
        <f>SUM(K64:K71)</f>
        <v>7696</v>
      </c>
    </row>
    <row r="73" spans="1:11" ht="16" x14ac:dyDescent="0.2">
      <c r="A73" s="86" t="s">
        <v>17</v>
      </c>
      <c r="B73" s="141"/>
      <c r="C73" s="142"/>
      <c r="D73" s="143"/>
      <c r="E73" s="141"/>
      <c r="F73" s="142"/>
      <c r="G73" s="143"/>
      <c r="H73" s="141"/>
      <c r="I73" s="142"/>
      <c r="J73" s="169"/>
      <c r="K73" s="397"/>
    </row>
    <row r="74" spans="1:11" ht="16" x14ac:dyDescent="0.2">
      <c r="A74" s="83" t="s">
        <v>41</v>
      </c>
      <c r="B74" s="172">
        <f t="shared" ref="B74:B79" si="26">B64/$B$72</f>
        <v>0.25259515570934254</v>
      </c>
      <c r="C74" s="170">
        <f t="shared" ref="C74:C79" si="27">C64/C$72</f>
        <v>0.24052478134110788</v>
      </c>
      <c r="D74" s="171">
        <f t="shared" ref="D74:J74" si="28">D64/D$72</f>
        <v>0.26931567328918321</v>
      </c>
      <c r="E74" s="172">
        <f t="shared" si="28"/>
        <v>0.19330543933054392</v>
      </c>
      <c r="F74" s="170">
        <f t="shared" si="28"/>
        <v>0.27643064985451016</v>
      </c>
      <c r="G74" s="171">
        <f t="shared" si="28"/>
        <v>0.15187969924812031</v>
      </c>
      <c r="H74" s="172">
        <f t="shared" si="28"/>
        <v>0.12471655328798185</v>
      </c>
      <c r="I74" s="170">
        <f t="shared" si="28"/>
        <v>0.16590284142988085</v>
      </c>
      <c r="J74" s="173">
        <f t="shared" ca="1" si="28"/>
        <v>0.24052478134110788</v>
      </c>
      <c r="K74" s="188">
        <f t="shared" ref="K74:K81" si="29">K64/$K$72</f>
        <v>0.2069906444906445</v>
      </c>
    </row>
    <row r="75" spans="1:11" ht="16" x14ac:dyDescent="0.2">
      <c r="A75" s="83" t="s">
        <v>42</v>
      </c>
      <c r="B75" s="172">
        <f t="shared" si="26"/>
        <v>0.40484429065743943</v>
      </c>
      <c r="C75" s="170">
        <f t="shared" si="27"/>
        <v>0.37755102040816324</v>
      </c>
      <c r="D75" s="171">
        <f t="shared" ref="D75:J75" si="30">D65/D$72</f>
        <v>0.30132450331125826</v>
      </c>
      <c r="E75" s="172">
        <f t="shared" si="30"/>
        <v>0.29874476987447701</v>
      </c>
      <c r="F75" s="170">
        <f t="shared" si="30"/>
        <v>0.19010669253152279</v>
      </c>
      <c r="G75" s="171">
        <f t="shared" si="30"/>
        <v>0.16090225563909774</v>
      </c>
      <c r="H75" s="172">
        <f t="shared" si="30"/>
        <v>0.1655328798185941</v>
      </c>
      <c r="I75" s="170">
        <f t="shared" si="30"/>
        <v>0.16773602199816681</v>
      </c>
      <c r="J75" s="173">
        <f t="shared" ca="1" si="30"/>
        <v>0.37755102040816324</v>
      </c>
      <c r="K75" s="188">
        <f t="shared" si="29"/>
        <v>0.22946985446985446</v>
      </c>
    </row>
    <row r="76" spans="1:11" ht="16" x14ac:dyDescent="0.2">
      <c r="A76" s="83" t="s">
        <v>43</v>
      </c>
      <c r="B76" s="172">
        <f t="shared" si="26"/>
        <v>0.28719723183391005</v>
      </c>
      <c r="C76" s="170">
        <f t="shared" si="27"/>
        <v>0.30174927113702626</v>
      </c>
      <c r="D76" s="171">
        <f t="shared" ref="D76:J76" si="31">D66/D$72</f>
        <v>0.30353200883002207</v>
      </c>
      <c r="E76" s="172">
        <f t="shared" si="31"/>
        <v>0.31380753138075312</v>
      </c>
      <c r="F76" s="170">
        <f t="shared" si="31"/>
        <v>0.26673132880698353</v>
      </c>
      <c r="G76" s="171">
        <f t="shared" si="31"/>
        <v>0.21654135338345865</v>
      </c>
      <c r="H76" s="172">
        <f t="shared" si="31"/>
        <v>0.18820861678004536</v>
      </c>
      <c r="I76" s="170">
        <f t="shared" si="31"/>
        <v>0.17415215398716774</v>
      </c>
      <c r="J76" s="173">
        <f t="shared" ca="1" si="31"/>
        <v>0.30174927113702626</v>
      </c>
      <c r="K76" s="188">
        <f t="shared" si="29"/>
        <v>0.24025467775467776</v>
      </c>
    </row>
    <row r="77" spans="1:11" ht="16" x14ac:dyDescent="0.2">
      <c r="A77" s="83" t="s">
        <v>44</v>
      </c>
      <c r="B77" s="172">
        <f t="shared" si="26"/>
        <v>0</v>
      </c>
      <c r="C77" s="170">
        <f t="shared" si="27"/>
        <v>7.2886297376093291E-3</v>
      </c>
      <c r="D77" s="171">
        <f t="shared" ref="D77:J77" si="32">D67/D$72</f>
        <v>0</v>
      </c>
      <c r="E77" s="172">
        <f t="shared" si="32"/>
        <v>8.3682008368200832E-4</v>
      </c>
      <c r="F77" s="170">
        <f t="shared" si="32"/>
        <v>1.9398642095053346E-3</v>
      </c>
      <c r="G77" s="171">
        <f t="shared" si="32"/>
        <v>0.10676691729323308</v>
      </c>
      <c r="H77" s="172">
        <f t="shared" si="32"/>
        <v>0.10997732426303855</v>
      </c>
      <c r="I77" s="170">
        <f t="shared" si="32"/>
        <v>0.12007332722273144</v>
      </c>
      <c r="J77" s="173">
        <f t="shared" ca="1" si="32"/>
        <v>7.2886297376093291E-3</v>
      </c>
      <c r="K77" s="188">
        <f t="shared" si="29"/>
        <v>5.6392931392931396E-2</v>
      </c>
    </row>
    <row r="78" spans="1:11" ht="16" x14ac:dyDescent="0.2">
      <c r="A78" s="83" t="s">
        <v>45</v>
      </c>
      <c r="B78" s="172">
        <f t="shared" si="26"/>
        <v>1.7301038062283738E-2</v>
      </c>
      <c r="C78" s="170">
        <f t="shared" si="27"/>
        <v>3.0612244897959183E-2</v>
      </c>
      <c r="D78" s="171">
        <f t="shared" ref="D78:J78" si="33">D68/D$72</f>
        <v>6.8432671081677707E-2</v>
      </c>
      <c r="E78" s="172">
        <f t="shared" si="33"/>
        <v>0.13389121338912133</v>
      </c>
      <c r="F78" s="170">
        <f t="shared" si="33"/>
        <v>0.1629485935984481</v>
      </c>
      <c r="G78" s="171">
        <f t="shared" si="33"/>
        <v>0.10827067669172932</v>
      </c>
      <c r="H78" s="172">
        <f t="shared" si="33"/>
        <v>0.12018140589569161</v>
      </c>
      <c r="I78" s="170">
        <f t="shared" si="33"/>
        <v>0.11915673693858846</v>
      </c>
      <c r="J78" s="173">
        <f t="shared" ca="1" si="33"/>
        <v>3.0612244897959183E-2</v>
      </c>
      <c r="K78" s="188">
        <f t="shared" si="29"/>
        <v>0.10615904365904366</v>
      </c>
    </row>
    <row r="79" spans="1:11" ht="16" x14ac:dyDescent="0.2">
      <c r="A79" s="83" t="s">
        <v>46</v>
      </c>
      <c r="B79" s="172">
        <f t="shared" si="26"/>
        <v>3.4602076124567475E-3</v>
      </c>
      <c r="C79" s="170">
        <f t="shared" si="27"/>
        <v>2.9154518950437316E-2</v>
      </c>
      <c r="D79" s="171">
        <f t="shared" ref="D79:J79" si="34">D69/D$72</f>
        <v>3.9735099337748346E-2</v>
      </c>
      <c r="E79" s="172">
        <f t="shared" si="34"/>
        <v>4.3514644351464432E-2</v>
      </c>
      <c r="F79" s="170">
        <f t="shared" si="34"/>
        <v>8.7293889427740065E-2</v>
      </c>
      <c r="G79" s="171">
        <f t="shared" si="34"/>
        <v>0.24060150375939848</v>
      </c>
      <c r="H79" s="172">
        <f t="shared" si="34"/>
        <v>0.27551020408163263</v>
      </c>
      <c r="I79" s="170">
        <f t="shared" si="34"/>
        <v>0.24197983501374887</v>
      </c>
      <c r="J79" s="173">
        <f t="shared" ca="1" si="34"/>
        <v>2.9154518950437316E-2</v>
      </c>
      <c r="K79" s="188">
        <f t="shared" si="29"/>
        <v>0.1428014553014553</v>
      </c>
    </row>
    <row r="80" spans="1:11" ht="16" x14ac:dyDescent="0.2">
      <c r="A80" s="83" t="s">
        <v>47</v>
      </c>
      <c r="B80" s="172"/>
      <c r="C80" s="170"/>
      <c r="D80" s="171"/>
      <c r="E80" s="172"/>
      <c r="F80" s="170"/>
      <c r="G80" s="171"/>
      <c r="H80" s="172"/>
      <c r="I80" s="170"/>
      <c r="J80" s="173">
        <f ca="1">J70/J$72</f>
        <v>0</v>
      </c>
      <c r="K80" s="188">
        <f t="shared" si="29"/>
        <v>1.2993762993762994E-4</v>
      </c>
    </row>
    <row r="81" spans="1:11" ht="17" thickBot="1" x14ac:dyDescent="0.25">
      <c r="A81" s="88" t="s">
        <v>31</v>
      </c>
      <c r="B81" s="160">
        <f>B71/B$72</f>
        <v>3.4602076124567477E-2</v>
      </c>
      <c r="C81" s="158">
        <f t="shared" ref="C81:J81" si="35">C71/C$72</f>
        <v>1.3119533527696793E-2</v>
      </c>
      <c r="D81" s="159">
        <f t="shared" si="35"/>
        <v>1.7660044150110375E-2</v>
      </c>
      <c r="E81" s="160">
        <f t="shared" si="35"/>
        <v>1.5899581589958158E-2</v>
      </c>
      <c r="F81" s="158">
        <f t="shared" si="35"/>
        <v>1.4548981571290009E-2</v>
      </c>
      <c r="G81" s="159">
        <f t="shared" si="35"/>
        <v>1.5037593984962405E-2</v>
      </c>
      <c r="H81" s="160">
        <f t="shared" si="35"/>
        <v>1.5873015873015872E-2</v>
      </c>
      <c r="I81" s="158">
        <f t="shared" si="35"/>
        <v>1.0999083409715857E-2</v>
      </c>
      <c r="J81" s="161">
        <f t="shared" ca="1" si="35"/>
        <v>3.4602076124567477E-2</v>
      </c>
      <c r="K81" s="189">
        <f t="shared" si="29"/>
        <v>1.7801455301455302E-2</v>
      </c>
    </row>
    <row r="82" spans="1:11" ht="16" thickBot="1" x14ac:dyDescent="0.25">
      <c r="A82" s="89"/>
      <c r="B82" s="163"/>
      <c r="C82" s="164"/>
      <c r="D82" s="165"/>
      <c r="E82" s="163"/>
      <c r="F82" s="164"/>
      <c r="G82" s="165"/>
      <c r="H82" s="163"/>
      <c r="I82" s="164"/>
      <c r="J82" s="180"/>
      <c r="K82" s="168"/>
    </row>
    <row r="83" spans="1:11" ht="33" thickBot="1" x14ac:dyDescent="0.25">
      <c r="A83" s="90" t="s">
        <v>48</v>
      </c>
      <c r="B83" s="190"/>
      <c r="C83" s="191"/>
      <c r="D83" s="192"/>
      <c r="E83" s="190"/>
      <c r="F83" s="191"/>
      <c r="G83" s="192"/>
      <c r="H83" s="190"/>
      <c r="I83" s="191"/>
      <c r="J83" s="193"/>
      <c r="K83" s="194"/>
    </row>
    <row r="84" spans="1:11" ht="17" thickBot="1" x14ac:dyDescent="0.25">
      <c r="A84" s="87" t="s">
        <v>49</v>
      </c>
      <c r="B84" s="120">
        <v>44652</v>
      </c>
      <c r="C84" s="121">
        <v>44682</v>
      </c>
      <c r="D84" s="122">
        <v>44713</v>
      </c>
      <c r="E84" s="120">
        <v>44743</v>
      </c>
      <c r="F84" s="121">
        <v>44774</v>
      </c>
      <c r="G84" s="122">
        <v>44805</v>
      </c>
      <c r="H84" s="120">
        <v>44835</v>
      </c>
      <c r="I84" s="121">
        <v>44866</v>
      </c>
      <c r="J84" s="123">
        <v>44896</v>
      </c>
      <c r="K84" s="406" t="s">
        <v>24</v>
      </c>
    </row>
    <row r="85" spans="1:11" ht="16" x14ac:dyDescent="0.2">
      <c r="A85" s="86" t="s">
        <v>50</v>
      </c>
      <c r="B85" s="141">
        <v>211</v>
      </c>
      <c r="C85" s="142">
        <v>293</v>
      </c>
      <c r="D85" s="143">
        <v>708</v>
      </c>
      <c r="E85" s="141">
        <v>879</v>
      </c>
      <c r="F85" s="142">
        <v>750</v>
      </c>
      <c r="G85" s="143">
        <v>448</v>
      </c>
      <c r="H85" s="141">
        <f>123+429</f>
        <v>552</v>
      </c>
      <c r="I85" s="142">
        <v>741</v>
      </c>
      <c r="J85" s="169">
        <v>603</v>
      </c>
      <c r="K85" s="397">
        <f t="shared" ref="K85:K92" si="36">SUM(B85:J85)</f>
        <v>5185</v>
      </c>
    </row>
    <row r="86" spans="1:11" ht="16" x14ac:dyDescent="0.2">
      <c r="A86" s="83" t="s">
        <v>51</v>
      </c>
      <c r="B86" s="146">
        <v>30</v>
      </c>
      <c r="C86" s="109">
        <v>78</v>
      </c>
      <c r="D86" s="147">
        <v>75</v>
      </c>
      <c r="E86" s="146">
        <v>124</v>
      </c>
      <c r="F86" s="109">
        <v>87</v>
      </c>
      <c r="G86" s="147">
        <v>98</v>
      </c>
      <c r="H86" s="146">
        <f>42+104</f>
        <v>146</v>
      </c>
      <c r="I86" s="109">
        <v>151</v>
      </c>
      <c r="J86" s="154">
        <v>144</v>
      </c>
      <c r="K86" s="153">
        <f t="shared" si="36"/>
        <v>933</v>
      </c>
    </row>
    <row r="87" spans="1:11" ht="16" x14ac:dyDescent="0.2">
      <c r="A87" s="83" t="s">
        <v>52</v>
      </c>
      <c r="B87" s="146">
        <v>25</v>
      </c>
      <c r="C87" s="109">
        <v>90</v>
      </c>
      <c r="D87" s="147">
        <v>97</v>
      </c>
      <c r="E87" s="146">
        <v>153</v>
      </c>
      <c r="F87" s="109">
        <v>148</v>
      </c>
      <c r="G87" s="147">
        <v>89</v>
      </c>
      <c r="H87" s="146">
        <f>45+80</f>
        <v>125</v>
      </c>
      <c r="I87" s="109">
        <v>120</v>
      </c>
      <c r="J87" s="154">
        <v>131</v>
      </c>
      <c r="K87" s="153">
        <f t="shared" si="36"/>
        <v>978</v>
      </c>
    </row>
    <row r="88" spans="1:11" ht="16" x14ac:dyDescent="0.2">
      <c r="A88" s="83" t="s">
        <v>56</v>
      </c>
      <c r="B88" s="146"/>
      <c r="C88" s="109"/>
      <c r="D88" s="147"/>
      <c r="E88" s="146"/>
      <c r="F88" s="109">
        <v>2</v>
      </c>
      <c r="G88" s="147">
        <v>8</v>
      </c>
      <c r="H88" s="146">
        <f>6+11</f>
        <v>17</v>
      </c>
      <c r="I88" s="109">
        <v>18</v>
      </c>
      <c r="J88" s="154">
        <v>14</v>
      </c>
      <c r="K88" s="153">
        <f t="shared" si="36"/>
        <v>59</v>
      </c>
    </row>
    <row r="89" spans="1:11" ht="16" x14ac:dyDescent="0.2">
      <c r="A89" s="83" t="s">
        <v>54</v>
      </c>
      <c r="B89" s="146">
        <v>2</v>
      </c>
      <c r="C89" s="109">
        <v>2</v>
      </c>
      <c r="D89" s="147"/>
      <c r="E89" s="146">
        <v>4</v>
      </c>
      <c r="F89" s="109">
        <v>6</v>
      </c>
      <c r="G89" s="147">
        <v>2</v>
      </c>
      <c r="H89" s="146">
        <v>4</v>
      </c>
      <c r="I89" s="109">
        <v>2</v>
      </c>
      <c r="J89" s="154">
        <v>3</v>
      </c>
      <c r="K89" s="153">
        <f t="shared" si="36"/>
        <v>25</v>
      </c>
    </row>
    <row r="90" spans="1:11" ht="16" x14ac:dyDescent="0.2">
      <c r="A90" s="83" t="s">
        <v>30</v>
      </c>
      <c r="B90" s="146">
        <v>8</v>
      </c>
      <c r="C90" s="109">
        <v>10</v>
      </c>
      <c r="D90" s="147">
        <v>9</v>
      </c>
      <c r="E90" s="146">
        <v>26</v>
      </c>
      <c r="F90" s="109">
        <v>25</v>
      </c>
      <c r="G90" s="147">
        <v>9</v>
      </c>
      <c r="H90" s="146">
        <f>3+16</f>
        <v>19</v>
      </c>
      <c r="I90" s="109">
        <v>30</v>
      </c>
      <c r="J90" s="154">
        <v>24</v>
      </c>
      <c r="K90" s="153">
        <f t="shared" si="36"/>
        <v>160</v>
      </c>
    </row>
    <row r="91" spans="1:11" ht="17" thickBot="1" x14ac:dyDescent="0.25">
      <c r="A91" s="84" t="s">
        <v>55</v>
      </c>
      <c r="B91" s="129">
        <v>8</v>
      </c>
      <c r="C91" s="130">
        <v>3</v>
      </c>
      <c r="D91" s="131">
        <v>7</v>
      </c>
      <c r="E91" s="129">
        <v>3</v>
      </c>
      <c r="F91" s="130">
        <v>8</v>
      </c>
      <c r="G91" s="131">
        <v>5</v>
      </c>
      <c r="H91" s="129">
        <f>1+7</f>
        <v>8</v>
      </c>
      <c r="I91" s="130">
        <v>15</v>
      </c>
      <c r="J91" s="132">
        <v>22</v>
      </c>
      <c r="K91" s="133">
        <f t="shared" si="36"/>
        <v>79</v>
      </c>
    </row>
    <row r="92" spans="1:11" ht="17" thickBot="1" x14ac:dyDescent="0.25">
      <c r="A92" s="87" t="s">
        <v>24</v>
      </c>
      <c r="B92" s="139">
        <f t="shared" ref="B92:J92" si="37">SUM(B85:B91)</f>
        <v>284</v>
      </c>
      <c r="C92" s="137">
        <f t="shared" si="37"/>
        <v>476</v>
      </c>
      <c r="D92" s="138">
        <f t="shared" si="37"/>
        <v>896</v>
      </c>
      <c r="E92" s="139">
        <f t="shared" si="37"/>
        <v>1189</v>
      </c>
      <c r="F92" s="137">
        <f t="shared" si="37"/>
        <v>1026</v>
      </c>
      <c r="G92" s="138">
        <f t="shared" si="37"/>
        <v>659</v>
      </c>
      <c r="H92" s="139">
        <f t="shared" si="37"/>
        <v>871</v>
      </c>
      <c r="I92" s="137">
        <f t="shared" si="37"/>
        <v>1077</v>
      </c>
      <c r="J92" s="140">
        <f t="shared" si="37"/>
        <v>941</v>
      </c>
      <c r="K92" s="406">
        <f t="shared" si="36"/>
        <v>7419</v>
      </c>
    </row>
    <row r="93" spans="1:11" ht="16" x14ac:dyDescent="0.2">
      <c r="A93" s="86" t="s">
        <v>17</v>
      </c>
      <c r="B93" s="181"/>
      <c r="C93" s="182"/>
      <c r="D93" s="183"/>
      <c r="E93" s="181"/>
      <c r="F93" s="182"/>
      <c r="G93" s="183"/>
      <c r="H93" s="181"/>
      <c r="I93" s="182"/>
      <c r="J93" s="184"/>
      <c r="K93" s="185"/>
    </row>
    <row r="94" spans="1:11" ht="16" x14ac:dyDescent="0.2">
      <c r="A94" s="83" t="s">
        <v>50</v>
      </c>
      <c r="B94" s="172">
        <f t="shared" ref="B94:J94" si="38">B85/B92</f>
        <v>0.74295774647887325</v>
      </c>
      <c r="C94" s="170">
        <f t="shared" si="38"/>
        <v>0.61554621848739499</v>
      </c>
      <c r="D94" s="171">
        <f t="shared" si="38"/>
        <v>0.7901785714285714</v>
      </c>
      <c r="E94" s="172">
        <f t="shared" si="38"/>
        <v>0.73927670311185867</v>
      </c>
      <c r="F94" s="170">
        <f t="shared" si="38"/>
        <v>0.73099415204678364</v>
      </c>
      <c r="G94" s="171">
        <f t="shared" si="38"/>
        <v>0.67981790591805769</v>
      </c>
      <c r="H94" s="172">
        <f t="shared" si="38"/>
        <v>0.63375430539609645</v>
      </c>
      <c r="I94" s="170">
        <f t="shared" si="38"/>
        <v>0.68802228412256272</v>
      </c>
      <c r="J94" s="173">
        <f t="shared" si="38"/>
        <v>0.64080765143464402</v>
      </c>
      <c r="K94" s="174">
        <f>K85/K92</f>
        <v>0.69888125084243158</v>
      </c>
    </row>
    <row r="95" spans="1:11" ht="16" x14ac:dyDescent="0.2">
      <c r="A95" s="83" t="s">
        <v>51</v>
      </c>
      <c r="B95" s="172">
        <f t="shared" ref="B95:J95" si="39">B86/B92</f>
        <v>0.10563380281690141</v>
      </c>
      <c r="C95" s="170">
        <f t="shared" si="39"/>
        <v>0.1638655462184874</v>
      </c>
      <c r="D95" s="171">
        <f t="shared" si="39"/>
        <v>8.3705357142857137E-2</v>
      </c>
      <c r="E95" s="172">
        <f t="shared" si="39"/>
        <v>0.10428931875525652</v>
      </c>
      <c r="F95" s="170">
        <f t="shared" si="39"/>
        <v>8.4795321637426896E-2</v>
      </c>
      <c r="G95" s="171">
        <f t="shared" si="39"/>
        <v>0.14871016691957512</v>
      </c>
      <c r="H95" s="172">
        <f t="shared" si="39"/>
        <v>0.16762342135476463</v>
      </c>
      <c r="I95" s="170">
        <f t="shared" si="39"/>
        <v>0.14020427112349118</v>
      </c>
      <c r="J95" s="173">
        <f t="shared" si="39"/>
        <v>0.153028692879915</v>
      </c>
      <c r="K95" s="174">
        <f>K86/K92</f>
        <v>0.12575818843509906</v>
      </c>
    </row>
    <row r="96" spans="1:11" ht="16" x14ac:dyDescent="0.2">
      <c r="A96" s="83" t="s">
        <v>52</v>
      </c>
      <c r="B96" s="172">
        <f t="shared" ref="B96:J96" si="40">B87/B92</f>
        <v>8.8028169014084501E-2</v>
      </c>
      <c r="C96" s="170">
        <f t="shared" si="40"/>
        <v>0.18907563025210083</v>
      </c>
      <c r="D96" s="171">
        <f t="shared" si="40"/>
        <v>0.10825892857142858</v>
      </c>
      <c r="E96" s="172">
        <f t="shared" si="40"/>
        <v>0.12867956265769553</v>
      </c>
      <c r="F96" s="170">
        <f t="shared" si="40"/>
        <v>0.14424951267056529</v>
      </c>
      <c r="G96" s="171">
        <f t="shared" si="40"/>
        <v>0.13505311077389984</v>
      </c>
      <c r="H96" s="172">
        <f t="shared" si="40"/>
        <v>0.14351320321469574</v>
      </c>
      <c r="I96" s="170">
        <f t="shared" si="40"/>
        <v>0.11142061281337047</v>
      </c>
      <c r="J96" s="173">
        <f t="shared" si="40"/>
        <v>0.13921360255047821</v>
      </c>
      <c r="K96" s="174">
        <f>K87/K92</f>
        <v>0.13182369591589163</v>
      </c>
    </row>
    <row r="97" spans="1:11" ht="16" x14ac:dyDescent="0.2">
      <c r="A97" s="83" t="s">
        <v>56</v>
      </c>
      <c r="B97" s="172">
        <f t="shared" ref="B97:J97" si="41">B88/B92</f>
        <v>0</v>
      </c>
      <c r="C97" s="170">
        <f t="shared" si="41"/>
        <v>0</v>
      </c>
      <c r="D97" s="171">
        <f t="shared" si="41"/>
        <v>0</v>
      </c>
      <c r="E97" s="172">
        <f t="shared" si="41"/>
        <v>0</v>
      </c>
      <c r="F97" s="170">
        <f t="shared" si="41"/>
        <v>1.9493177387914229E-3</v>
      </c>
      <c r="G97" s="171">
        <f t="shared" si="41"/>
        <v>1.2139605462822459E-2</v>
      </c>
      <c r="H97" s="172">
        <f t="shared" si="41"/>
        <v>1.9517795637198621E-2</v>
      </c>
      <c r="I97" s="170">
        <f t="shared" si="41"/>
        <v>1.6713091922005572E-2</v>
      </c>
      <c r="J97" s="173">
        <f t="shared" si="41"/>
        <v>1.487778958554729E-2</v>
      </c>
      <c r="K97" s="174">
        <f>K88/K92</f>
        <v>7.9525542525946888E-3</v>
      </c>
    </row>
    <row r="98" spans="1:11" ht="16" x14ac:dyDescent="0.2">
      <c r="A98" s="83" t="s">
        <v>54</v>
      </c>
      <c r="B98" s="172">
        <f t="shared" ref="B98:J98" si="42">B89/B92</f>
        <v>7.0422535211267607E-3</v>
      </c>
      <c r="C98" s="170">
        <f t="shared" si="42"/>
        <v>4.2016806722689074E-3</v>
      </c>
      <c r="D98" s="171">
        <f t="shared" si="42"/>
        <v>0</v>
      </c>
      <c r="E98" s="172">
        <f t="shared" si="42"/>
        <v>3.3641715727502101E-3</v>
      </c>
      <c r="F98" s="170">
        <f t="shared" si="42"/>
        <v>5.8479532163742687E-3</v>
      </c>
      <c r="G98" s="171">
        <f t="shared" si="42"/>
        <v>3.0349013657056147E-3</v>
      </c>
      <c r="H98" s="172">
        <f t="shared" si="42"/>
        <v>4.5924225028702642E-3</v>
      </c>
      <c r="I98" s="170">
        <f t="shared" si="42"/>
        <v>1.8570102135561746E-3</v>
      </c>
      <c r="J98" s="173">
        <f t="shared" si="42"/>
        <v>3.188097768331562E-3</v>
      </c>
      <c r="K98" s="174">
        <f>K89/K92</f>
        <v>3.3697263782180888E-3</v>
      </c>
    </row>
    <row r="99" spans="1:11" ht="16" x14ac:dyDescent="0.2">
      <c r="A99" s="83" t="s">
        <v>30</v>
      </c>
      <c r="B99" s="172">
        <f t="shared" ref="B99:J99" si="43">B90/B92</f>
        <v>2.8169014084507043E-2</v>
      </c>
      <c r="C99" s="170">
        <f t="shared" si="43"/>
        <v>2.100840336134454E-2</v>
      </c>
      <c r="D99" s="171">
        <f t="shared" si="43"/>
        <v>1.0044642857142858E-2</v>
      </c>
      <c r="E99" s="172">
        <f t="shared" si="43"/>
        <v>2.1867115222876366E-2</v>
      </c>
      <c r="F99" s="170">
        <f t="shared" si="43"/>
        <v>2.4366471734892786E-2</v>
      </c>
      <c r="G99" s="171">
        <f t="shared" si="43"/>
        <v>1.3657056145675266E-2</v>
      </c>
      <c r="H99" s="172">
        <f t="shared" si="43"/>
        <v>2.1814006888633754E-2</v>
      </c>
      <c r="I99" s="170">
        <f t="shared" si="43"/>
        <v>2.7855153203342618E-2</v>
      </c>
      <c r="J99" s="173">
        <f t="shared" si="43"/>
        <v>2.5504782146652496E-2</v>
      </c>
      <c r="K99" s="174">
        <f>K90/K92</f>
        <v>2.1566248820595768E-2</v>
      </c>
    </row>
    <row r="100" spans="1:11" ht="17" thickBot="1" x14ac:dyDescent="0.25">
      <c r="A100" s="88" t="s">
        <v>55</v>
      </c>
      <c r="B100" s="160">
        <f>B91/B92</f>
        <v>2.8169014084507043E-2</v>
      </c>
      <c r="C100" s="158">
        <f t="shared" ref="C100:J100" si="44">C91/C92</f>
        <v>6.3025210084033615E-3</v>
      </c>
      <c r="D100" s="159">
        <f t="shared" si="44"/>
        <v>7.8125E-3</v>
      </c>
      <c r="E100" s="160">
        <f t="shared" si="44"/>
        <v>2.5231286795626578E-3</v>
      </c>
      <c r="F100" s="158">
        <f t="shared" si="44"/>
        <v>7.7972709551656916E-3</v>
      </c>
      <c r="G100" s="159">
        <f t="shared" si="44"/>
        <v>7.5872534142640367E-3</v>
      </c>
      <c r="H100" s="160">
        <f t="shared" si="44"/>
        <v>9.1848450057405284E-3</v>
      </c>
      <c r="I100" s="158">
        <f t="shared" si="44"/>
        <v>1.3927576601671309E-2</v>
      </c>
      <c r="J100" s="161">
        <f t="shared" si="44"/>
        <v>2.3379383634431455E-2</v>
      </c>
      <c r="K100" s="162">
        <f>K91/K92</f>
        <v>1.064833535516916E-2</v>
      </c>
    </row>
    <row r="101" spans="1:11" ht="16" thickBot="1" x14ac:dyDescent="0.25">
      <c r="A101" s="89"/>
      <c r="B101" s="186"/>
      <c r="C101" s="166"/>
      <c r="D101" s="187"/>
      <c r="E101" s="186"/>
      <c r="F101" s="166"/>
      <c r="G101" s="187"/>
      <c r="H101" s="186"/>
      <c r="I101" s="166"/>
      <c r="J101" s="167"/>
      <c r="K101" s="168"/>
    </row>
    <row r="102" spans="1:11" ht="17" thickBot="1" x14ac:dyDescent="0.25">
      <c r="A102" s="87" t="s">
        <v>57</v>
      </c>
      <c r="B102" s="120">
        <v>44652</v>
      </c>
      <c r="C102" s="121">
        <v>44682</v>
      </c>
      <c r="D102" s="122">
        <v>44713</v>
      </c>
      <c r="E102" s="120">
        <v>44743</v>
      </c>
      <c r="F102" s="121">
        <v>44774</v>
      </c>
      <c r="G102" s="122">
        <v>44805</v>
      </c>
      <c r="H102" s="120">
        <v>44835</v>
      </c>
      <c r="I102" s="121">
        <v>44866</v>
      </c>
      <c r="J102" s="123">
        <v>44896</v>
      </c>
      <c r="K102" s="195" t="s">
        <v>24</v>
      </c>
    </row>
    <row r="103" spans="1:11" ht="16" x14ac:dyDescent="0.2">
      <c r="A103" s="86" t="s">
        <v>58</v>
      </c>
      <c r="B103" s="141">
        <v>176</v>
      </c>
      <c r="C103" s="142">
        <v>408</v>
      </c>
      <c r="D103" s="143">
        <v>580</v>
      </c>
      <c r="E103" s="141">
        <v>804</v>
      </c>
      <c r="F103" s="142">
        <v>720</v>
      </c>
      <c r="G103" s="143">
        <v>456</v>
      </c>
      <c r="H103" s="141">
        <f>156+450</f>
        <v>606</v>
      </c>
      <c r="I103" s="142">
        <v>748</v>
      </c>
      <c r="J103" s="143">
        <v>724</v>
      </c>
      <c r="K103" s="196">
        <f>SUM(B103:J103)</f>
        <v>5222</v>
      </c>
    </row>
    <row r="104" spans="1:11" ht="16" x14ac:dyDescent="0.2">
      <c r="A104" s="83" t="s">
        <v>59</v>
      </c>
      <c r="B104" s="146">
        <v>95</v>
      </c>
      <c r="C104" s="109">
        <v>255</v>
      </c>
      <c r="D104" s="147">
        <v>310</v>
      </c>
      <c r="E104" s="146">
        <v>378</v>
      </c>
      <c r="F104" s="109">
        <v>291</v>
      </c>
      <c r="G104" s="147">
        <v>198</v>
      </c>
      <c r="H104" s="146">
        <f>66+201</f>
        <v>267</v>
      </c>
      <c r="I104" s="109">
        <v>320</v>
      </c>
      <c r="J104" s="147">
        <v>203</v>
      </c>
      <c r="K104" s="197">
        <f>SUM(B104:J104)</f>
        <v>2317</v>
      </c>
    </row>
    <row r="105" spans="1:11" ht="16" x14ac:dyDescent="0.2">
      <c r="A105" s="83" t="s">
        <v>60</v>
      </c>
      <c r="B105" s="146">
        <v>1</v>
      </c>
      <c r="C105" s="109">
        <v>9</v>
      </c>
      <c r="D105" s="147">
        <v>4</v>
      </c>
      <c r="E105" s="146">
        <v>5</v>
      </c>
      <c r="F105" s="109">
        <v>5</v>
      </c>
      <c r="G105" s="147">
        <v>1</v>
      </c>
      <c r="H105" s="146">
        <v>4</v>
      </c>
      <c r="I105" s="109">
        <v>11</v>
      </c>
      <c r="J105" s="147">
        <v>6</v>
      </c>
      <c r="K105" s="197">
        <f>SUM(B105:J105)</f>
        <v>46</v>
      </c>
    </row>
    <row r="106" spans="1:11" ht="17" thickBot="1" x14ac:dyDescent="0.25">
      <c r="A106" s="84" t="s">
        <v>55</v>
      </c>
      <c r="B106" s="129">
        <v>14</v>
      </c>
      <c r="C106" s="130">
        <v>14</v>
      </c>
      <c r="D106" s="131">
        <v>12</v>
      </c>
      <c r="E106" s="129">
        <v>9</v>
      </c>
      <c r="F106" s="130">
        <v>16</v>
      </c>
      <c r="G106" s="131">
        <v>11</v>
      </c>
      <c r="H106" s="129">
        <v>9</v>
      </c>
      <c r="I106" s="130">
        <v>12</v>
      </c>
      <c r="J106" s="131">
        <v>18</v>
      </c>
      <c r="K106" s="198">
        <f>SUM(B106:J106)</f>
        <v>115</v>
      </c>
    </row>
    <row r="107" spans="1:11" ht="17" thickBot="1" x14ac:dyDescent="0.25">
      <c r="A107" s="87" t="s">
        <v>24</v>
      </c>
      <c r="B107" s="139">
        <f>SUM(B103:B106)</f>
        <v>286</v>
      </c>
      <c r="C107" s="137">
        <f t="shared" ref="C107:J107" si="45">SUM(C103:C106)</f>
        <v>686</v>
      </c>
      <c r="D107" s="138">
        <f t="shared" si="45"/>
        <v>906</v>
      </c>
      <c r="E107" s="139">
        <f t="shared" si="45"/>
        <v>1196</v>
      </c>
      <c r="F107" s="137">
        <f t="shared" si="45"/>
        <v>1032</v>
      </c>
      <c r="G107" s="138">
        <f t="shared" si="45"/>
        <v>666</v>
      </c>
      <c r="H107" s="139">
        <f t="shared" si="45"/>
        <v>886</v>
      </c>
      <c r="I107" s="137">
        <f t="shared" si="45"/>
        <v>1091</v>
      </c>
      <c r="J107" s="138">
        <f t="shared" si="45"/>
        <v>951</v>
      </c>
      <c r="K107" s="199">
        <f>SUM(B107:J107)</f>
        <v>7700</v>
      </c>
    </row>
    <row r="108" spans="1:11" ht="16" x14ac:dyDescent="0.2">
      <c r="A108" s="86" t="s">
        <v>17</v>
      </c>
      <c r="B108" s="181"/>
      <c r="C108" s="182"/>
      <c r="D108" s="183"/>
      <c r="E108" s="181"/>
      <c r="F108" s="182"/>
      <c r="G108" s="183"/>
      <c r="H108" s="181"/>
      <c r="I108" s="182"/>
      <c r="J108" s="184"/>
      <c r="K108" s="185"/>
    </row>
    <row r="109" spans="1:11" ht="16" x14ac:dyDescent="0.2">
      <c r="A109" s="83" t="s">
        <v>58</v>
      </c>
      <c r="B109" s="172">
        <f>B103/B107</f>
        <v>0.61538461538461542</v>
      </c>
      <c r="C109" s="170">
        <f t="shared" ref="C109:J109" si="46">C103/C107</f>
        <v>0.59475218658892126</v>
      </c>
      <c r="D109" s="171">
        <f t="shared" si="46"/>
        <v>0.64017660044150115</v>
      </c>
      <c r="E109" s="172">
        <f t="shared" si="46"/>
        <v>0.67224080267558528</v>
      </c>
      <c r="F109" s="170">
        <f t="shared" si="46"/>
        <v>0.69767441860465118</v>
      </c>
      <c r="G109" s="171">
        <f t="shared" si="46"/>
        <v>0.68468468468468469</v>
      </c>
      <c r="H109" s="172">
        <f t="shared" si="46"/>
        <v>0.68397291196388266</v>
      </c>
      <c r="I109" s="170">
        <f t="shared" si="46"/>
        <v>0.68560953253895507</v>
      </c>
      <c r="J109" s="173">
        <f t="shared" si="46"/>
        <v>0.76130389064143011</v>
      </c>
      <c r="K109" s="174">
        <f>K103/K107</f>
        <v>0.67818181818181822</v>
      </c>
    </row>
    <row r="110" spans="1:11" ht="16" x14ac:dyDescent="0.2">
      <c r="A110" s="83" t="s">
        <v>59</v>
      </c>
      <c r="B110" s="172">
        <f>B104/B107</f>
        <v>0.33216783216783219</v>
      </c>
      <c r="C110" s="170">
        <f t="shared" ref="C110:J110" si="47">C104/C107</f>
        <v>0.3717201166180758</v>
      </c>
      <c r="D110" s="171">
        <f t="shared" si="47"/>
        <v>0.34216335540838855</v>
      </c>
      <c r="E110" s="172">
        <f t="shared" si="47"/>
        <v>0.31605351170568563</v>
      </c>
      <c r="F110" s="170">
        <f t="shared" si="47"/>
        <v>0.28197674418604651</v>
      </c>
      <c r="G110" s="171">
        <f t="shared" si="47"/>
        <v>0.29729729729729731</v>
      </c>
      <c r="H110" s="172">
        <f t="shared" si="47"/>
        <v>0.30135440180586909</v>
      </c>
      <c r="I110" s="170">
        <f t="shared" si="47"/>
        <v>0.29330889092575618</v>
      </c>
      <c r="J110" s="173">
        <f t="shared" si="47"/>
        <v>0.21345951629863302</v>
      </c>
      <c r="K110" s="174">
        <f>K104/K107</f>
        <v>0.3009090909090909</v>
      </c>
    </row>
    <row r="111" spans="1:11" ht="16" x14ac:dyDescent="0.2">
      <c r="A111" s="83" t="s">
        <v>60</v>
      </c>
      <c r="B111" s="172">
        <f>B105/B107</f>
        <v>3.4965034965034965E-3</v>
      </c>
      <c r="C111" s="170">
        <f t="shared" ref="C111:J111" si="48">C105/C107</f>
        <v>1.3119533527696793E-2</v>
      </c>
      <c r="D111" s="171">
        <f t="shared" si="48"/>
        <v>4.4150110375275938E-3</v>
      </c>
      <c r="E111" s="172">
        <f t="shared" si="48"/>
        <v>4.180602006688963E-3</v>
      </c>
      <c r="F111" s="170">
        <f t="shared" si="48"/>
        <v>4.8449612403100775E-3</v>
      </c>
      <c r="G111" s="171">
        <f t="shared" si="48"/>
        <v>1.5015015015015015E-3</v>
      </c>
      <c r="H111" s="172">
        <f t="shared" si="48"/>
        <v>4.5146726862302479E-3</v>
      </c>
      <c r="I111" s="170">
        <f t="shared" si="48"/>
        <v>1.0082493125572869E-2</v>
      </c>
      <c r="J111" s="173">
        <f t="shared" si="48"/>
        <v>6.3091482649842269E-3</v>
      </c>
      <c r="K111" s="174">
        <f>K105/K107</f>
        <v>5.9740259740259745E-3</v>
      </c>
    </row>
    <row r="112" spans="1:11" ht="17" thickBot="1" x14ac:dyDescent="0.25">
      <c r="A112" s="88" t="s">
        <v>55</v>
      </c>
      <c r="B112" s="160">
        <f>B106/B107</f>
        <v>4.8951048951048952E-2</v>
      </c>
      <c r="C112" s="158">
        <f t="shared" ref="C112:J112" si="49">C106/C107</f>
        <v>2.0408163265306121E-2</v>
      </c>
      <c r="D112" s="159">
        <f t="shared" si="49"/>
        <v>1.3245033112582781E-2</v>
      </c>
      <c r="E112" s="160">
        <f t="shared" si="49"/>
        <v>7.525083612040134E-3</v>
      </c>
      <c r="F112" s="158">
        <f t="shared" si="49"/>
        <v>1.5503875968992248E-2</v>
      </c>
      <c r="G112" s="159">
        <f t="shared" si="49"/>
        <v>1.6516516516516516E-2</v>
      </c>
      <c r="H112" s="160">
        <f t="shared" si="49"/>
        <v>1.0158013544018058E-2</v>
      </c>
      <c r="I112" s="158">
        <f t="shared" si="49"/>
        <v>1.0999083409715857E-2</v>
      </c>
      <c r="J112" s="161">
        <f t="shared" si="49"/>
        <v>1.8927444794952682E-2</v>
      </c>
      <c r="K112" s="162">
        <f>K106/K107</f>
        <v>1.4935064935064935E-2</v>
      </c>
    </row>
    <row r="113" spans="1:11" ht="16" thickBot="1" x14ac:dyDescent="0.25">
      <c r="A113" s="89"/>
      <c r="B113" s="186"/>
      <c r="C113" s="166"/>
      <c r="D113" s="187"/>
      <c r="E113" s="186"/>
      <c r="F113" s="166"/>
      <c r="G113" s="187"/>
      <c r="H113" s="186"/>
      <c r="I113" s="166"/>
      <c r="J113" s="167"/>
      <c r="K113" s="168"/>
    </row>
    <row r="114" spans="1:11" ht="17" thickBot="1" x14ac:dyDescent="0.25">
      <c r="A114" s="93" t="s">
        <v>61</v>
      </c>
      <c r="B114" s="200">
        <v>44652</v>
      </c>
      <c r="C114" s="121">
        <v>44682</v>
      </c>
      <c r="D114" s="122">
        <v>44713</v>
      </c>
      <c r="E114" s="120">
        <v>44743</v>
      </c>
      <c r="F114" s="121">
        <v>44774</v>
      </c>
      <c r="G114" s="122">
        <v>44805</v>
      </c>
      <c r="H114" s="120">
        <v>44835</v>
      </c>
      <c r="I114" s="121">
        <v>44866</v>
      </c>
      <c r="J114" s="123">
        <v>44896</v>
      </c>
      <c r="K114" s="406" t="s">
        <v>24</v>
      </c>
    </row>
    <row r="115" spans="1:11" ht="16" x14ac:dyDescent="0.2">
      <c r="A115" s="86" t="s">
        <v>62</v>
      </c>
      <c r="B115" s="141"/>
      <c r="C115" s="142"/>
      <c r="D115" s="143"/>
      <c r="E115" s="141"/>
      <c r="F115" s="142"/>
      <c r="G115" s="143"/>
      <c r="H115" s="141"/>
      <c r="I115" s="142">
        <v>5</v>
      </c>
      <c r="J115" s="169">
        <v>7</v>
      </c>
      <c r="K115" s="397">
        <f t="shared" ref="K115:K123" si="50">SUM(H115:J115)</f>
        <v>12</v>
      </c>
    </row>
    <row r="116" spans="1:11" ht="16" x14ac:dyDescent="0.2">
      <c r="A116" s="83" t="s">
        <v>63</v>
      </c>
      <c r="B116" s="146"/>
      <c r="C116" s="109"/>
      <c r="D116" s="147"/>
      <c r="E116" s="146"/>
      <c r="F116" s="109"/>
      <c r="G116" s="147"/>
      <c r="H116" s="146">
        <v>53</v>
      </c>
      <c r="I116" s="109">
        <v>133</v>
      </c>
      <c r="J116" s="154">
        <v>92</v>
      </c>
      <c r="K116" s="153">
        <f t="shared" si="50"/>
        <v>278</v>
      </c>
    </row>
    <row r="117" spans="1:11" ht="16" x14ac:dyDescent="0.2">
      <c r="A117" s="83" t="s">
        <v>64</v>
      </c>
      <c r="B117" s="146"/>
      <c r="C117" s="109"/>
      <c r="D117" s="147"/>
      <c r="E117" s="146"/>
      <c r="F117" s="109"/>
      <c r="G117" s="147"/>
      <c r="H117" s="146">
        <v>55</v>
      </c>
      <c r="I117" s="109">
        <v>191</v>
      </c>
      <c r="J117" s="154">
        <v>155</v>
      </c>
      <c r="K117" s="153">
        <f t="shared" si="50"/>
        <v>401</v>
      </c>
    </row>
    <row r="118" spans="1:11" ht="16" x14ac:dyDescent="0.2">
      <c r="A118" s="83" t="s">
        <v>65</v>
      </c>
      <c r="B118" s="146"/>
      <c r="C118" s="109"/>
      <c r="D118" s="147"/>
      <c r="E118" s="146"/>
      <c r="F118" s="109"/>
      <c r="G118" s="147"/>
      <c r="H118" s="146">
        <v>50</v>
      </c>
      <c r="I118" s="109">
        <v>158</v>
      </c>
      <c r="J118" s="154">
        <v>128</v>
      </c>
      <c r="K118" s="153">
        <f t="shared" si="50"/>
        <v>336</v>
      </c>
    </row>
    <row r="119" spans="1:11" ht="16" x14ac:dyDescent="0.2">
      <c r="A119" s="83" t="s">
        <v>66</v>
      </c>
      <c r="B119" s="146"/>
      <c r="C119" s="109"/>
      <c r="D119" s="147"/>
      <c r="E119" s="146"/>
      <c r="F119" s="109"/>
      <c r="G119" s="147"/>
      <c r="H119" s="146">
        <v>58</v>
      </c>
      <c r="I119" s="109">
        <v>106</v>
      </c>
      <c r="J119" s="154">
        <v>116</v>
      </c>
      <c r="K119" s="153">
        <f t="shared" si="50"/>
        <v>280</v>
      </c>
    </row>
    <row r="120" spans="1:11" ht="16" x14ac:dyDescent="0.2">
      <c r="A120" s="83" t="s">
        <v>67</v>
      </c>
      <c r="B120" s="146"/>
      <c r="C120" s="109"/>
      <c r="D120" s="147"/>
      <c r="E120" s="146"/>
      <c r="F120" s="109"/>
      <c r="G120" s="147"/>
      <c r="H120" s="146">
        <v>9</v>
      </c>
      <c r="I120" s="109">
        <v>23</v>
      </c>
      <c r="J120" s="154">
        <v>14</v>
      </c>
      <c r="K120" s="153">
        <f t="shared" si="50"/>
        <v>46</v>
      </c>
    </row>
    <row r="121" spans="1:11" ht="16" x14ac:dyDescent="0.2">
      <c r="A121" s="83" t="s">
        <v>68</v>
      </c>
      <c r="B121" s="146"/>
      <c r="C121" s="109"/>
      <c r="D121" s="147"/>
      <c r="E121" s="146"/>
      <c r="F121" s="109"/>
      <c r="G121" s="147"/>
      <c r="H121" s="146">
        <v>4</v>
      </c>
      <c r="I121" s="109"/>
      <c r="J121" s="154"/>
      <c r="K121" s="153">
        <f t="shared" si="50"/>
        <v>4</v>
      </c>
    </row>
    <row r="122" spans="1:11" ht="17" thickBot="1" x14ac:dyDescent="0.25">
      <c r="A122" s="84" t="s">
        <v>31</v>
      </c>
      <c r="B122" s="129"/>
      <c r="C122" s="130"/>
      <c r="D122" s="131"/>
      <c r="E122" s="129"/>
      <c r="F122" s="130"/>
      <c r="G122" s="131"/>
      <c r="H122" s="129">
        <v>431</v>
      </c>
      <c r="I122" s="130">
        <v>475</v>
      </c>
      <c r="J122" s="132">
        <v>438</v>
      </c>
      <c r="K122" s="133">
        <f t="shared" si="50"/>
        <v>1344</v>
      </c>
    </row>
    <row r="123" spans="1:11" ht="17" thickBot="1" x14ac:dyDescent="0.25">
      <c r="A123" s="87" t="s">
        <v>24</v>
      </c>
      <c r="B123" s="201"/>
      <c r="C123" s="202"/>
      <c r="D123" s="203"/>
      <c r="E123" s="201"/>
      <c r="F123" s="202"/>
      <c r="G123" s="203"/>
      <c r="H123" s="139">
        <f>SUM(H115:H122)</f>
        <v>660</v>
      </c>
      <c r="I123" s="137">
        <f t="shared" ref="I123:J123" si="51">SUM(I115:I122)</f>
        <v>1091</v>
      </c>
      <c r="J123" s="140">
        <f t="shared" si="51"/>
        <v>950</v>
      </c>
      <c r="K123" s="406">
        <f t="shared" si="50"/>
        <v>2701</v>
      </c>
    </row>
    <row r="124" spans="1:11" ht="16" x14ac:dyDescent="0.2">
      <c r="A124" s="86" t="s">
        <v>17</v>
      </c>
      <c r="B124" s="141"/>
      <c r="C124" s="142"/>
      <c r="D124" s="143"/>
      <c r="E124" s="141"/>
      <c r="F124" s="142"/>
      <c r="G124" s="143"/>
      <c r="H124" s="181"/>
      <c r="I124" s="182"/>
      <c r="J124" s="184"/>
      <c r="K124" s="185"/>
    </row>
    <row r="125" spans="1:11" ht="16" x14ac:dyDescent="0.2">
      <c r="A125" s="83" t="s">
        <v>62</v>
      </c>
      <c r="B125" s="146"/>
      <c r="C125" s="109"/>
      <c r="D125" s="147"/>
      <c r="E125" s="146"/>
      <c r="F125" s="109"/>
      <c r="G125" s="147"/>
      <c r="H125" s="172">
        <f>H115/H123</f>
        <v>0</v>
      </c>
      <c r="I125" s="170">
        <f t="shared" ref="I125:J125" si="52">I115/I123</f>
        <v>4.5829514207149404E-3</v>
      </c>
      <c r="J125" s="173">
        <f t="shared" si="52"/>
        <v>7.3684210526315788E-3</v>
      </c>
      <c r="K125" s="174">
        <f>K115/K123</f>
        <v>4.4427989633469087E-3</v>
      </c>
    </row>
    <row r="126" spans="1:11" ht="16" x14ac:dyDescent="0.2">
      <c r="A126" s="83" t="s">
        <v>63</v>
      </c>
      <c r="B126" s="146"/>
      <c r="C126" s="109"/>
      <c r="D126" s="147"/>
      <c r="E126" s="146"/>
      <c r="F126" s="109"/>
      <c r="G126" s="147"/>
      <c r="H126" s="172">
        <f>H116/H123</f>
        <v>8.0303030303030307E-2</v>
      </c>
      <c r="I126" s="170">
        <f t="shared" ref="I126:J126" si="53">I116/I123</f>
        <v>0.12190650779101742</v>
      </c>
      <c r="J126" s="173">
        <f t="shared" si="53"/>
        <v>9.6842105263157896E-2</v>
      </c>
      <c r="K126" s="174">
        <f>K116/K123</f>
        <v>0.10292484265087005</v>
      </c>
    </row>
    <row r="127" spans="1:11" ht="16" x14ac:dyDescent="0.2">
      <c r="A127" s="83" t="s">
        <v>64</v>
      </c>
      <c r="B127" s="146"/>
      <c r="C127" s="109"/>
      <c r="D127" s="147"/>
      <c r="E127" s="146"/>
      <c r="F127" s="109"/>
      <c r="G127" s="147"/>
      <c r="H127" s="172">
        <f>H117/H123</f>
        <v>8.3333333333333329E-2</v>
      </c>
      <c r="I127" s="170">
        <f t="shared" ref="I127:J127" si="54">I117/I123</f>
        <v>0.17506874427131072</v>
      </c>
      <c r="J127" s="173">
        <f t="shared" si="54"/>
        <v>0.16315789473684211</v>
      </c>
      <c r="K127" s="174">
        <f>K117/K123</f>
        <v>0.14846353202517587</v>
      </c>
    </row>
    <row r="128" spans="1:11" ht="16" x14ac:dyDescent="0.2">
      <c r="A128" s="83" t="s">
        <v>65</v>
      </c>
      <c r="B128" s="146"/>
      <c r="C128" s="109"/>
      <c r="D128" s="147"/>
      <c r="E128" s="146"/>
      <c r="F128" s="109"/>
      <c r="G128" s="147"/>
      <c r="H128" s="172">
        <f>H118/H123</f>
        <v>7.575757575757576E-2</v>
      </c>
      <c r="I128" s="170">
        <f t="shared" ref="I128:J128" si="55">I118/I123</f>
        <v>0.14482126489459213</v>
      </c>
      <c r="J128" s="173">
        <f t="shared" si="55"/>
        <v>0.13473684210526315</v>
      </c>
      <c r="K128" s="174">
        <f>K118/K123</f>
        <v>0.12439837097371344</v>
      </c>
    </row>
    <row r="129" spans="1:11" ht="16" x14ac:dyDescent="0.2">
      <c r="A129" s="83" t="s">
        <v>66</v>
      </c>
      <c r="B129" s="146"/>
      <c r="C129" s="109"/>
      <c r="D129" s="147"/>
      <c r="E129" s="146"/>
      <c r="F129" s="109"/>
      <c r="G129" s="147"/>
      <c r="H129" s="172">
        <f>H119/H123</f>
        <v>8.7878787878787876E-2</v>
      </c>
      <c r="I129" s="170">
        <f t="shared" ref="I129:J129" si="56">I119/I123</f>
        <v>9.715857011915674E-2</v>
      </c>
      <c r="J129" s="173">
        <f t="shared" si="56"/>
        <v>0.12210526315789473</v>
      </c>
      <c r="K129" s="174">
        <f>K119/K123</f>
        <v>0.1036653091447612</v>
      </c>
    </row>
    <row r="130" spans="1:11" ht="16" x14ac:dyDescent="0.2">
      <c r="A130" s="83" t="s">
        <v>67</v>
      </c>
      <c r="B130" s="146"/>
      <c r="C130" s="109"/>
      <c r="D130" s="147"/>
      <c r="E130" s="146"/>
      <c r="F130" s="109"/>
      <c r="G130" s="147"/>
      <c r="H130" s="172">
        <f>H120/H123</f>
        <v>1.3636363636363636E-2</v>
      </c>
      <c r="I130" s="170">
        <f t="shared" ref="I130:J130" si="57">I120/I123</f>
        <v>2.1081576535288724E-2</v>
      </c>
      <c r="J130" s="173">
        <f t="shared" si="57"/>
        <v>1.4736842105263158E-2</v>
      </c>
      <c r="K130" s="174">
        <f>K120/K123</f>
        <v>1.7030729359496483E-2</v>
      </c>
    </row>
    <row r="131" spans="1:11" ht="16" x14ac:dyDescent="0.2">
      <c r="A131" s="83" t="s">
        <v>68</v>
      </c>
      <c r="B131" s="146"/>
      <c r="C131" s="109"/>
      <c r="D131" s="147"/>
      <c r="E131" s="146"/>
      <c r="F131" s="109"/>
      <c r="G131" s="147"/>
      <c r="H131" s="172">
        <f>H121/H123</f>
        <v>6.0606060606060606E-3</v>
      </c>
      <c r="I131" s="170">
        <f t="shared" ref="I131:J131" si="58">I121/I123</f>
        <v>0</v>
      </c>
      <c r="J131" s="173">
        <f t="shared" si="58"/>
        <v>0</v>
      </c>
      <c r="K131" s="174">
        <f>K121/K123</f>
        <v>1.4809329877823029E-3</v>
      </c>
    </row>
    <row r="132" spans="1:11" ht="17" thickBot="1" x14ac:dyDescent="0.25">
      <c r="A132" s="88" t="s">
        <v>31</v>
      </c>
      <c r="B132" s="155"/>
      <c r="C132" s="156"/>
      <c r="D132" s="157"/>
      <c r="E132" s="155"/>
      <c r="F132" s="156"/>
      <c r="G132" s="157"/>
      <c r="H132" s="160">
        <f>H122/H123</f>
        <v>0.65303030303030307</v>
      </c>
      <c r="I132" s="158">
        <f t="shared" ref="I132:J132" si="59">I122/I123</f>
        <v>0.43538038496791936</v>
      </c>
      <c r="J132" s="161">
        <f t="shared" si="59"/>
        <v>0.46105263157894738</v>
      </c>
      <c r="K132" s="162">
        <f>K122/K123</f>
        <v>0.49759348389485375</v>
      </c>
    </row>
    <row r="133" spans="1:11" x14ac:dyDescent="0.2">
      <c r="A133" s="92"/>
      <c r="B133" s="141"/>
      <c r="C133" s="142"/>
      <c r="D133" s="143"/>
      <c r="E133" s="141"/>
      <c r="F133" s="142"/>
      <c r="G133" s="143"/>
      <c r="H133" s="141"/>
      <c r="I133" s="142"/>
      <c r="J133" s="169"/>
      <c r="K133" s="185"/>
    </row>
    <row r="134" spans="1:11" ht="16" thickBot="1" x14ac:dyDescent="0.25">
      <c r="A134" s="84"/>
      <c r="B134" s="129"/>
      <c r="C134" s="130"/>
      <c r="D134" s="131"/>
      <c r="E134" s="129"/>
      <c r="F134" s="130"/>
      <c r="G134" s="131"/>
      <c r="H134" s="204"/>
      <c r="I134" s="205"/>
      <c r="J134" s="206"/>
      <c r="K134" s="119"/>
    </row>
    <row r="135" spans="1:11" ht="33" thickBot="1" x14ac:dyDescent="0.25">
      <c r="A135" s="90" t="s">
        <v>69</v>
      </c>
      <c r="B135" s="190"/>
      <c r="C135" s="191"/>
      <c r="D135" s="192"/>
      <c r="E135" s="190"/>
      <c r="F135" s="191"/>
      <c r="G135" s="192"/>
      <c r="H135" s="190"/>
      <c r="I135" s="191"/>
      <c r="J135" s="193"/>
      <c r="K135" s="194"/>
    </row>
    <row r="136" spans="1:11" ht="17" thickBot="1" x14ac:dyDescent="0.25">
      <c r="A136" s="87" t="s">
        <v>70</v>
      </c>
      <c r="B136" s="120">
        <v>44652</v>
      </c>
      <c r="C136" s="121">
        <v>44682</v>
      </c>
      <c r="D136" s="122">
        <v>44713</v>
      </c>
      <c r="E136" s="120">
        <v>44743</v>
      </c>
      <c r="F136" s="121">
        <v>44774</v>
      </c>
      <c r="G136" s="122">
        <v>44805</v>
      </c>
      <c r="H136" s="120">
        <v>44835</v>
      </c>
      <c r="I136" s="121">
        <v>44866</v>
      </c>
      <c r="J136" s="123">
        <v>44896</v>
      </c>
      <c r="K136" s="406" t="s">
        <v>24</v>
      </c>
    </row>
    <row r="137" spans="1:11" ht="16" x14ac:dyDescent="0.2">
      <c r="A137" s="86" t="s">
        <v>71</v>
      </c>
      <c r="B137" s="141"/>
      <c r="C137" s="142"/>
      <c r="D137" s="143">
        <v>134</v>
      </c>
      <c r="E137" s="141">
        <v>591</v>
      </c>
      <c r="F137" s="142">
        <v>481</v>
      </c>
      <c r="G137" s="143">
        <v>306</v>
      </c>
      <c r="H137" s="141">
        <f>102+255</f>
        <v>357</v>
      </c>
      <c r="I137" s="142">
        <v>540</v>
      </c>
      <c r="J137" s="169">
        <v>429</v>
      </c>
      <c r="K137" s="397">
        <f>SUM(D137:J137)</f>
        <v>2838</v>
      </c>
    </row>
    <row r="138" spans="1:11" ht="16" x14ac:dyDescent="0.2">
      <c r="A138" s="83" t="s">
        <v>72</v>
      </c>
      <c r="B138" s="146"/>
      <c r="C138" s="109"/>
      <c r="D138" s="147">
        <v>150</v>
      </c>
      <c r="E138" s="146">
        <v>529</v>
      </c>
      <c r="F138" s="109">
        <v>519</v>
      </c>
      <c r="G138" s="147">
        <v>345</v>
      </c>
      <c r="H138" s="146">
        <f>117+394</f>
        <v>511</v>
      </c>
      <c r="I138" s="109">
        <v>561</v>
      </c>
      <c r="J138" s="154">
        <v>472</v>
      </c>
      <c r="K138" s="153">
        <f>SUM(D138:J138)</f>
        <v>3087</v>
      </c>
    </row>
    <row r="139" spans="1:11" ht="16" x14ac:dyDescent="0.2">
      <c r="A139" s="83" t="s">
        <v>30</v>
      </c>
      <c r="B139" s="146"/>
      <c r="C139" s="109"/>
      <c r="D139" s="147"/>
      <c r="E139" s="146">
        <v>5</v>
      </c>
      <c r="F139" s="109">
        <v>4</v>
      </c>
      <c r="G139" s="147">
        <v>1</v>
      </c>
      <c r="H139" s="146">
        <v>4</v>
      </c>
      <c r="I139" s="109">
        <v>2</v>
      </c>
      <c r="J139" s="154">
        <v>13</v>
      </c>
      <c r="K139" s="153">
        <f>SUM(D139:J139)</f>
        <v>29</v>
      </c>
    </row>
    <row r="140" spans="1:11" ht="17" thickBot="1" x14ac:dyDescent="0.25">
      <c r="A140" s="84" t="s">
        <v>55</v>
      </c>
      <c r="B140" s="129"/>
      <c r="C140" s="130"/>
      <c r="D140" s="131">
        <v>622</v>
      </c>
      <c r="E140" s="129">
        <v>71</v>
      </c>
      <c r="F140" s="130">
        <v>28</v>
      </c>
      <c r="G140" s="131">
        <v>14</v>
      </c>
      <c r="H140" s="129">
        <v>14</v>
      </c>
      <c r="I140" s="130">
        <v>24</v>
      </c>
      <c r="J140" s="132">
        <v>39</v>
      </c>
      <c r="K140" s="133">
        <f>SUM(D140:J140)</f>
        <v>812</v>
      </c>
    </row>
    <row r="141" spans="1:11" ht="17" thickBot="1" x14ac:dyDescent="0.25">
      <c r="A141" s="87" t="s">
        <v>24</v>
      </c>
      <c r="B141" s="201"/>
      <c r="C141" s="202"/>
      <c r="D141" s="138">
        <f>SUM(D137:D140)</f>
        <v>906</v>
      </c>
      <c r="E141" s="139">
        <f t="shared" ref="E141:I141" si="60">SUM(E137:E140)</f>
        <v>1196</v>
      </c>
      <c r="F141" s="137">
        <f t="shared" si="60"/>
        <v>1032</v>
      </c>
      <c r="G141" s="138">
        <f t="shared" si="60"/>
        <v>666</v>
      </c>
      <c r="H141" s="139">
        <f t="shared" si="60"/>
        <v>886</v>
      </c>
      <c r="I141" s="137">
        <f t="shared" si="60"/>
        <v>1127</v>
      </c>
      <c r="J141" s="140">
        <f>SUM(J137:J140)</f>
        <v>953</v>
      </c>
      <c r="K141" s="406">
        <f>SUM(D141:J141)</f>
        <v>6766</v>
      </c>
    </row>
    <row r="142" spans="1:11" ht="16" x14ac:dyDescent="0.2">
      <c r="A142" s="86" t="s">
        <v>17</v>
      </c>
      <c r="B142" s="141"/>
      <c r="C142" s="142"/>
      <c r="D142" s="183"/>
      <c r="E142" s="181"/>
      <c r="F142" s="182"/>
      <c r="G142" s="183"/>
      <c r="H142" s="181"/>
      <c r="I142" s="182"/>
      <c r="J142" s="184"/>
      <c r="K142" s="185"/>
    </row>
    <row r="143" spans="1:11" ht="16" x14ac:dyDescent="0.2">
      <c r="A143" s="83" t="s">
        <v>71</v>
      </c>
      <c r="B143" s="146"/>
      <c r="C143" s="109"/>
      <c r="D143" s="171">
        <f>D137/D141</f>
        <v>0.1479028697571744</v>
      </c>
      <c r="E143" s="172">
        <f t="shared" ref="E143:J143" si="61">E137/E141</f>
        <v>0.49414715719063546</v>
      </c>
      <c r="F143" s="170">
        <f t="shared" si="61"/>
        <v>0.46608527131782945</v>
      </c>
      <c r="G143" s="171">
        <f t="shared" si="61"/>
        <v>0.45945945945945948</v>
      </c>
      <c r="H143" s="172">
        <f t="shared" si="61"/>
        <v>0.40293453724604966</v>
      </c>
      <c r="I143" s="170">
        <f t="shared" si="61"/>
        <v>0.47914818101153506</v>
      </c>
      <c r="J143" s="173">
        <f t="shared" si="61"/>
        <v>0.45015739769150054</v>
      </c>
      <c r="K143" s="174">
        <f>K137/K141</f>
        <v>0.4194501921371564</v>
      </c>
    </row>
    <row r="144" spans="1:11" ht="16" x14ac:dyDescent="0.2">
      <c r="A144" s="83" t="s">
        <v>72</v>
      </c>
      <c r="B144" s="146"/>
      <c r="C144" s="109"/>
      <c r="D144" s="171">
        <f>D138/D141</f>
        <v>0.16556291390728478</v>
      </c>
      <c r="E144" s="172">
        <f t="shared" ref="E144:J144" si="62">E138/E141</f>
        <v>0.44230769230769229</v>
      </c>
      <c r="F144" s="170">
        <f t="shared" si="62"/>
        <v>0.50290697674418605</v>
      </c>
      <c r="G144" s="171">
        <f t="shared" si="62"/>
        <v>0.51801801801801806</v>
      </c>
      <c r="H144" s="172">
        <f t="shared" si="62"/>
        <v>0.57674943566591419</v>
      </c>
      <c r="I144" s="170">
        <f t="shared" si="62"/>
        <v>0.49778172138420584</v>
      </c>
      <c r="J144" s="173">
        <f t="shared" si="62"/>
        <v>0.49527806925498424</v>
      </c>
      <c r="K144" s="174">
        <f>K138/K141</f>
        <v>0.4562518474726574</v>
      </c>
    </row>
    <row r="145" spans="1:11" ht="16" x14ac:dyDescent="0.2">
      <c r="A145" s="83" t="s">
        <v>30</v>
      </c>
      <c r="B145" s="146"/>
      <c r="C145" s="109"/>
      <c r="D145" s="171">
        <f>D139/D141</f>
        <v>0</v>
      </c>
      <c r="E145" s="172">
        <f t="shared" ref="E145:J145" si="63">E139/E141</f>
        <v>4.180602006688963E-3</v>
      </c>
      <c r="F145" s="170">
        <f t="shared" si="63"/>
        <v>3.875968992248062E-3</v>
      </c>
      <c r="G145" s="171">
        <f t="shared" si="63"/>
        <v>1.5015015015015015E-3</v>
      </c>
      <c r="H145" s="172">
        <f t="shared" si="63"/>
        <v>4.5146726862302479E-3</v>
      </c>
      <c r="I145" s="170">
        <f t="shared" si="63"/>
        <v>1.7746228926353151E-3</v>
      </c>
      <c r="J145" s="173">
        <f t="shared" si="63"/>
        <v>1.3641133263378805E-2</v>
      </c>
      <c r="K145" s="174">
        <f>K139/K141</f>
        <v>4.2861365651788354E-3</v>
      </c>
    </row>
    <row r="146" spans="1:11" ht="17" thickBot="1" x14ac:dyDescent="0.25">
      <c r="A146" s="88" t="s">
        <v>55</v>
      </c>
      <c r="B146" s="155"/>
      <c r="C146" s="156"/>
      <c r="D146" s="159">
        <f>D140/D141</f>
        <v>0.68653421633554079</v>
      </c>
      <c r="E146" s="160">
        <f t="shared" ref="E146:J146" si="64">E140/E141</f>
        <v>5.936454849498328E-2</v>
      </c>
      <c r="F146" s="158">
        <f t="shared" si="64"/>
        <v>2.7131782945736434E-2</v>
      </c>
      <c r="G146" s="159">
        <f t="shared" si="64"/>
        <v>2.1021021021021023E-2</v>
      </c>
      <c r="H146" s="160">
        <f t="shared" si="64"/>
        <v>1.580135440180587E-2</v>
      </c>
      <c r="I146" s="158">
        <f t="shared" si="64"/>
        <v>2.1295474711623779E-2</v>
      </c>
      <c r="J146" s="161">
        <f t="shared" si="64"/>
        <v>4.0923399790136414E-2</v>
      </c>
      <c r="K146" s="162">
        <f>K140/K141</f>
        <v>0.12001182382500739</v>
      </c>
    </row>
    <row r="147" spans="1:11" x14ac:dyDescent="0.2">
      <c r="A147" s="94"/>
      <c r="B147" s="141"/>
      <c r="C147" s="142"/>
      <c r="D147" s="143"/>
      <c r="E147" s="141"/>
      <c r="F147" s="142"/>
      <c r="G147" s="143"/>
      <c r="H147" s="141"/>
      <c r="I147" s="142"/>
      <c r="J147" s="169"/>
      <c r="K147" s="185"/>
    </row>
    <row r="148" spans="1:11" x14ac:dyDescent="0.2">
      <c r="A148" s="84"/>
      <c r="B148" s="129"/>
      <c r="C148" s="130"/>
      <c r="D148" s="131"/>
      <c r="E148" s="129"/>
      <c r="F148" s="130"/>
      <c r="G148" s="131"/>
      <c r="H148" s="129"/>
      <c r="I148" s="130"/>
      <c r="J148" s="132"/>
      <c r="K148" s="119"/>
    </row>
    <row r="149" spans="1:11" ht="16" x14ac:dyDescent="0.2">
      <c r="A149" s="87" t="s">
        <v>75</v>
      </c>
      <c r="B149" s="120">
        <v>44652</v>
      </c>
      <c r="C149" s="121">
        <v>44682</v>
      </c>
      <c r="D149" s="122">
        <v>44713</v>
      </c>
      <c r="E149" s="120">
        <v>44743</v>
      </c>
      <c r="F149" s="121">
        <v>44774</v>
      </c>
      <c r="G149" s="122">
        <v>44805</v>
      </c>
      <c r="H149" s="120">
        <v>44835</v>
      </c>
      <c r="I149" s="121">
        <v>44866</v>
      </c>
      <c r="J149" s="122">
        <v>44896</v>
      </c>
      <c r="K149" s="199" t="s">
        <v>24</v>
      </c>
    </row>
    <row r="150" spans="1:11" ht="16" x14ac:dyDescent="0.2">
      <c r="A150" s="86" t="s">
        <v>72</v>
      </c>
      <c r="B150" s="141"/>
      <c r="C150" s="142">
        <v>14</v>
      </c>
      <c r="D150" s="143">
        <v>126</v>
      </c>
      <c r="E150" s="141">
        <v>80</v>
      </c>
      <c r="F150" s="142">
        <v>37</v>
      </c>
      <c r="G150" s="143">
        <v>122</v>
      </c>
      <c r="H150" s="141">
        <f>23+117</f>
        <v>140</v>
      </c>
      <c r="I150" s="142">
        <v>207</v>
      </c>
      <c r="J150" s="143">
        <v>194</v>
      </c>
      <c r="K150" s="208">
        <f>SUM(C150:J150)</f>
        <v>920</v>
      </c>
    </row>
    <row r="151" spans="1:11" ht="16" x14ac:dyDescent="0.2">
      <c r="A151" s="83" t="s">
        <v>71</v>
      </c>
      <c r="B151" s="146"/>
      <c r="C151" s="109">
        <v>102</v>
      </c>
      <c r="D151" s="147">
        <v>650</v>
      </c>
      <c r="E151" s="146">
        <v>1095</v>
      </c>
      <c r="F151" s="109">
        <v>971</v>
      </c>
      <c r="G151" s="147">
        <v>535</v>
      </c>
      <c r="H151" s="146">
        <f>200+533</f>
        <v>733</v>
      </c>
      <c r="I151" s="109">
        <v>854</v>
      </c>
      <c r="J151" s="147">
        <v>733</v>
      </c>
      <c r="K151" s="197">
        <f>SUM(C151:J151)</f>
        <v>5673</v>
      </c>
    </row>
    <row r="152" spans="1:11" ht="16" x14ac:dyDescent="0.2">
      <c r="A152" s="84" t="s">
        <v>31</v>
      </c>
      <c r="B152" s="129"/>
      <c r="C152" s="130">
        <v>570</v>
      </c>
      <c r="D152" s="131">
        <v>130</v>
      </c>
      <c r="E152" s="129">
        <v>21</v>
      </c>
      <c r="F152" s="130">
        <v>24</v>
      </c>
      <c r="G152" s="131">
        <v>9</v>
      </c>
      <c r="H152" s="129">
        <v>13</v>
      </c>
      <c r="I152" s="130">
        <v>30</v>
      </c>
      <c r="J152" s="131">
        <v>24</v>
      </c>
      <c r="K152" s="198">
        <f>SUM(C152:J152)</f>
        <v>821</v>
      </c>
    </row>
    <row r="153" spans="1:11" ht="16" x14ac:dyDescent="0.2">
      <c r="A153" s="87" t="s">
        <v>24</v>
      </c>
      <c r="B153" s="201"/>
      <c r="C153" s="137">
        <f>SUM(C150:C152)</f>
        <v>686</v>
      </c>
      <c r="D153" s="138">
        <f t="shared" ref="D153:J153" si="65">SUM(D150:D152)</f>
        <v>906</v>
      </c>
      <c r="E153" s="139">
        <f t="shared" si="65"/>
        <v>1196</v>
      </c>
      <c r="F153" s="137">
        <f t="shared" si="65"/>
        <v>1032</v>
      </c>
      <c r="G153" s="138">
        <f t="shared" si="65"/>
        <v>666</v>
      </c>
      <c r="H153" s="139">
        <f t="shared" si="65"/>
        <v>886</v>
      </c>
      <c r="I153" s="137">
        <f t="shared" si="65"/>
        <v>1091</v>
      </c>
      <c r="J153" s="138">
        <f t="shared" si="65"/>
        <v>951</v>
      </c>
      <c r="K153" s="199">
        <f>SUM(C153:J153)</f>
        <v>7414</v>
      </c>
    </row>
    <row r="154" spans="1:11" ht="16" x14ac:dyDescent="0.2">
      <c r="A154" s="86" t="s">
        <v>92</v>
      </c>
      <c r="B154" s="141"/>
      <c r="C154" s="142"/>
      <c r="D154" s="143"/>
      <c r="E154" s="141"/>
      <c r="F154" s="142"/>
      <c r="G154" s="143"/>
      <c r="H154" s="141"/>
      <c r="I154" s="142"/>
      <c r="J154" s="143"/>
      <c r="K154" s="209"/>
    </row>
    <row r="155" spans="1:11" ht="16" x14ac:dyDescent="0.2">
      <c r="A155" s="83" t="s">
        <v>72</v>
      </c>
      <c r="B155" s="146"/>
      <c r="C155" s="170">
        <f>C$150/C$153</f>
        <v>2.0408163265306121E-2</v>
      </c>
      <c r="D155" s="171">
        <f t="shared" ref="D155:J155" si="66">D$150/D$153</f>
        <v>0.13907284768211919</v>
      </c>
      <c r="E155" s="172">
        <f t="shared" si="66"/>
        <v>6.6889632107023408E-2</v>
      </c>
      <c r="F155" s="170">
        <f t="shared" si="66"/>
        <v>3.5852713178294575E-2</v>
      </c>
      <c r="G155" s="171">
        <f t="shared" si="66"/>
        <v>0.18318318318318319</v>
      </c>
      <c r="H155" s="172">
        <f t="shared" si="66"/>
        <v>0.1580135440180587</v>
      </c>
      <c r="I155" s="170">
        <f t="shared" si="66"/>
        <v>0.18973418881759854</v>
      </c>
      <c r="J155" s="171">
        <f t="shared" si="66"/>
        <v>0.20399579390115669</v>
      </c>
      <c r="K155" s="210">
        <f>K$150/K$153</f>
        <v>0.1240895602913407</v>
      </c>
    </row>
    <row r="156" spans="1:11" ht="16" x14ac:dyDescent="0.2">
      <c r="A156" s="83" t="s">
        <v>71</v>
      </c>
      <c r="B156" s="146"/>
      <c r="C156" s="170">
        <f>C$151/C$153</f>
        <v>0.14868804664723032</v>
      </c>
      <c r="D156" s="171">
        <f t="shared" ref="D156:J156" si="67">D$151/D$153</f>
        <v>0.717439293598234</v>
      </c>
      <c r="E156" s="172">
        <f t="shared" si="67"/>
        <v>0.91555183946488294</v>
      </c>
      <c r="F156" s="170">
        <f t="shared" si="67"/>
        <v>0.94089147286821706</v>
      </c>
      <c r="G156" s="171">
        <f t="shared" si="67"/>
        <v>0.80330330330330335</v>
      </c>
      <c r="H156" s="172">
        <f t="shared" si="67"/>
        <v>0.82731376975169302</v>
      </c>
      <c r="I156" s="170">
        <f t="shared" si="67"/>
        <v>0.78276810265811181</v>
      </c>
      <c r="J156" s="171">
        <f t="shared" si="67"/>
        <v>0.7707676130389064</v>
      </c>
      <c r="K156" s="210">
        <f>K$151/K$153</f>
        <v>0.76517399514432161</v>
      </c>
    </row>
    <row r="157" spans="1:11" ht="16" x14ac:dyDescent="0.2">
      <c r="A157" s="83" t="s">
        <v>31</v>
      </c>
      <c r="B157" s="146"/>
      <c r="C157" s="170">
        <f>C$152/C$153</f>
        <v>0.83090379008746351</v>
      </c>
      <c r="D157" s="171">
        <f t="shared" ref="D157:J157" si="68">D$152/D$153</f>
        <v>0.14348785871964681</v>
      </c>
      <c r="E157" s="172">
        <f t="shared" si="68"/>
        <v>1.7558528428093644E-2</v>
      </c>
      <c r="F157" s="170">
        <f t="shared" si="68"/>
        <v>2.3255813953488372E-2</v>
      </c>
      <c r="G157" s="171">
        <f t="shared" si="68"/>
        <v>1.3513513513513514E-2</v>
      </c>
      <c r="H157" s="172">
        <f t="shared" si="68"/>
        <v>1.4672686230248307E-2</v>
      </c>
      <c r="I157" s="170">
        <f t="shared" si="68"/>
        <v>2.7497708524289642E-2</v>
      </c>
      <c r="J157" s="171">
        <f t="shared" si="68"/>
        <v>2.5236593059936908E-2</v>
      </c>
      <c r="K157" s="210">
        <f>K$152/K$153</f>
        <v>0.11073644456433773</v>
      </c>
    </row>
    <row r="158" spans="1:11" ht="16" x14ac:dyDescent="0.2">
      <c r="A158" s="83" t="s">
        <v>14</v>
      </c>
      <c r="B158" s="146"/>
      <c r="C158" s="211"/>
      <c r="D158" s="212"/>
      <c r="E158" s="213"/>
      <c r="F158" s="211"/>
      <c r="G158" s="212"/>
      <c r="H158" s="213"/>
      <c r="I158" s="211"/>
      <c r="J158" s="212"/>
      <c r="K158" s="214"/>
    </row>
    <row r="159" spans="1:11" ht="32" x14ac:dyDescent="0.2">
      <c r="A159" s="88" t="s">
        <v>76</v>
      </c>
      <c r="B159" s="155"/>
      <c r="C159" s="395">
        <f t="shared" ref="C159:J159" si="69">C$150/C$6</f>
        <v>0.45161290322580644</v>
      </c>
      <c r="D159" s="395">
        <f t="shared" si="69"/>
        <v>4.2</v>
      </c>
      <c r="E159" s="395">
        <f t="shared" si="69"/>
        <v>2.6666666666666665</v>
      </c>
      <c r="F159" s="395">
        <f t="shared" si="69"/>
        <v>1.2758620689655173</v>
      </c>
      <c r="G159" s="395">
        <f t="shared" si="69"/>
        <v>4.0666666666666664</v>
      </c>
      <c r="H159" s="395">
        <f t="shared" si="69"/>
        <v>4.8275862068965516</v>
      </c>
      <c r="I159" s="395">
        <f t="shared" si="69"/>
        <v>6.9</v>
      </c>
      <c r="J159" s="395">
        <f t="shared" si="69"/>
        <v>6.258064516129032</v>
      </c>
      <c r="K159" s="395">
        <f>K$150/K$6</f>
        <v>3.5658914728682172</v>
      </c>
    </row>
    <row r="161" spans="12:12" x14ac:dyDescent="0.2">
      <c r="L161" s="4"/>
    </row>
  </sheetData>
  <mergeCells count="4">
    <mergeCell ref="B2:D2"/>
    <mergeCell ref="E2:G2"/>
    <mergeCell ref="H2:J2"/>
    <mergeCell ref="B1:K1"/>
  </mergeCells>
  <printOptions gridLines="1"/>
  <pageMargins left="0.25" right="0.25" top="0.75" bottom="0.75" header="0.3" footer="0.3"/>
  <pageSetup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6E454-FA2F-4FAB-91A1-8E689AB4160F}">
  <sheetPr>
    <pageSetUpPr fitToPage="1"/>
  </sheetPr>
  <dimension ref="A1:AG60"/>
  <sheetViews>
    <sheetView zoomScaleNormal="100" zoomScaleSheetLayoutView="100" workbookViewId="0"/>
  </sheetViews>
  <sheetFormatPr baseColWidth="10" defaultColWidth="8.83203125" defaultRowHeight="15" customHeight="1" x14ac:dyDescent="0.2"/>
  <cols>
    <col min="1" max="1" width="30.6640625" style="6" customWidth="1"/>
    <col min="2" max="2" width="20.5" customWidth="1"/>
    <col min="5" max="5" width="13.33203125" bestFit="1" customWidth="1"/>
    <col min="11" max="11" width="9.33203125" bestFit="1" customWidth="1"/>
    <col min="14" max="14" width="32" bestFit="1" customWidth="1"/>
    <col min="17" max="17" width="10.83203125" bestFit="1" customWidth="1"/>
    <col min="26" max="26" width="5.1640625" customWidth="1"/>
    <col min="27" max="27" width="23.33203125" customWidth="1"/>
  </cols>
  <sheetData>
    <row r="1" spans="1:33" ht="49.5" customHeight="1" x14ac:dyDescent="0.2">
      <c r="A1" s="6" t="s">
        <v>97</v>
      </c>
      <c r="B1">
        <f>B5-B6</f>
        <v>14697</v>
      </c>
      <c r="C1">
        <f t="shared" ref="C1:H1" si="0">C5-C6</f>
        <v>11924</v>
      </c>
      <c r="D1">
        <f t="shared" si="0"/>
        <v>6142</v>
      </c>
      <c r="E1">
        <f t="shared" si="0"/>
        <v>7738</v>
      </c>
      <c r="F1">
        <f t="shared" si="0"/>
        <v>9485</v>
      </c>
      <c r="G1">
        <f t="shared" si="0"/>
        <v>12617</v>
      </c>
      <c r="H1">
        <f t="shared" si="0"/>
        <v>13842</v>
      </c>
      <c r="J1">
        <f>H5/J2</f>
        <v>56.657534246575345</v>
      </c>
      <c r="K1">
        <f>H6/J2</f>
        <v>18.734246575342464</v>
      </c>
      <c r="L1" t="s">
        <v>98</v>
      </c>
      <c r="N1" t="s">
        <v>99</v>
      </c>
      <c r="P1" t="s">
        <v>100</v>
      </c>
    </row>
    <row r="2" spans="1:33" ht="17" thickBot="1" x14ac:dyDescent="0.25">
      <c r="A2" s="6" t="s">
        <v>100</v>
      </c>
      <c r="B2" s="4">
        <f>B1/B5</f>
        <v>0.57233537131508239</v>
      </c>
      <c r="C2" s="4">
        <f t="shared" ref="C2:H2" si="1">C1/C5</f>
        <v>0.54018302074839175</v>
      </c>
      <c r="D2" s="4">
        <f t="shared" si="1"/>
        <v>0.42472858031947996</v>
      </c>
      <c r="E2" s="4">
        <f t="shared" si="1"/>
        <v>0.50941408821593148</v>
      </c>
      <c r="F2" s="4">
        <f t="shared" si="1"/>
        <v>0.58869165839126114</v>
      </c>
      <c r="G2" s="4">
        <f t="shared" si="1"/>
        <v>0.65032730271635486</v>
      </c>
      <c r="H2" s="4">
        <f t="shared" si="1"/>
        <v>0.66934235976789169</v>
      </c>
      <c r="J2">
        <v>365</v>
      </c>
    </row>
    <row r="3" spans="1:33" ht="16" thickBot="1" x14ac:dyDescent="0.25">
      <c r="A3" s="16"/>
      <c r="B3" s="47"/>
      <c r="C3" s="429" t="s">
        <v>101</v>
      </c>
      <c r="D3" s="430"/>
      <c r="E3" s="17" t="s">
        <v>102</v>
      </c>
      <c r="F3" s="17"/>
      <c r="G3" s="64"/>
      <c r="H3" s="11" t="s">
        <v>103</v>
      </c>
      <c r="K3" t="s">
        <v>104</v>
      </c>
      <c r="L3" t="s">
        <v>105</v>
      </c>
      <c r="N3" t="s">
        <v>106</v>
      </c>
      <c r="O3">
        <v>6784</v>
      </c>
      <c r="P3" s="4">
        <f>O3/O5</f>
        <v>0.3496726972836452</v>
      </c>
      <c r="AC3" s="431" t="s">
        <v>101</v>
      </c>
      <c r="AD3" s="432"/>
    </row>
    <row r="4" spans="1:33" ht="32" x14ac:dyDescent="0.2">
      <c r="A4" s="18" t="s">
        <v>107</v>
      </c>
      <c r="B4" s="45">
        <v>2019</v>
      </c>
      <c r="C4" s="45">
        <v>2020</v>
      </c>
      <c r="D4" s="45">
        <v>2021</v>
      </c>
      <c r="E4" s="45">
        <v>2022</v>
      </c>
      <c r="F4" s="45">
        <v>2023</v>
      </c>
      <c r="G4" s="65">
        <v>2024</v>
      </c>
      <c r="H4" s="45">
        <v>2025</v>
      </c>
      <c r="K4" t="s">
        <v>108</v>
      </c>
      <c r="L4" t="s">
        <v>109</v>
      </c>
      <c r="N4" t="s">
        <v>110</v>
      </c>
      <c r="O4">
        <v>12617</v>
      </c>
      <c r="P4" s="4">
        <f>O4/O5</f>
        <v>0.65032730271635486</v>
      </c>
      <c r="R4" s="7">
        <f>O4/365</f>
        <v>34.56712328767123</v>
      </c>
      <c r="S4" s="7" t="s">
        <v>111</v>
      </c>
      <c r="AA4" s="18" t="s">
        <v>112</v>
      </c>
      <c r="AB4" s="45">
        <v>2019</v>
      </c>
      <c r="AC4" s="45">
        <v>2020</v>
      </c>
      <c r="AD4" s="45">
        <v>2021</v>
      </c>
      <c r="AE4" s="45">
        <v>2022</v>
      </c>
      <c r="AF4" s="45">
        <v>2023</v>
      </c>
      <c r="AG4" s="46">
        <v>2024</v>
      </c>
    </row>
    <row r="5" spans="1:33" ht="16" x14ac:dyDescent="0.2">
      <c r="A5" s="18" t="s">
        <v>113</v>
      </c>
      <c r="B5" s="11">
        <v>25679</v>
      </c>
      <c r="C5" s="11">
        <v>22074</v>
      </c>
      <c r="D5" s="11">
        <v>14461</v>
      </c>
      <c r="E5" s="11">
        <v>15190</v>
      </c>
      <c r="F5" s="11">
        <v>16112</v>
      </c>
      <c r="G5" s="49">
        <v>19401</v>
      </c>
      <c r="H5" s="75">
        <f>10340*2</f>
        <v>20680</v>
      </c>
      <c r="J5" t="s">
        <v>24</v>
      </c>
      <c r="K5" s="7">
        <f>G5/365</f>
        <v>53.153424657534245</v>
      </c>
      <c r="L5" s="7">
        <f>O3/365</f>
        <v>18.586301369863012</v>
      </c>
      <c r="M5" t="s">
        <v>114</v>
      </c>
      <c r="N5" t="s">
        <v>115</v>
      </c>
      <c r="O5">
        <f>SUM(O3:O4)</f>
        <v>19401</v>
      </c>
      <c r="AA5" s="18" t="s">
        <v>113</v>
      </c>
      <c r="AB5" s="11">
        <v>25679</v>
      </c>
      <c r="AC5" s="11">
        <v>22074</v>
      </c>
      <c r="AD5" s="11">
        <v>14461</v>
      </c>
      <c r="AE5" s="11">
        <v>15190</v>
      </c>
      <c r="AF5" s="11">
        <v>16112</v>
      </c>
      <c r="AG5" s="19">
        <v>19401</v>
      </c>
    </row>
    <row r="6" spans="1:33" ht="16" x14ac:dyDescent="0.2">
      <c r="A6" s="20" t="s">
        <v>116</v>
      </c>
      <c r="B6" s="5">
        <v>10982</v>
      </c>
      <c r="C6" s="5">
        <v>10150</v>
      </c>
      <c r="D6" s="5">
        <v>8319</v>
      </c>
      <c r="E6" s="5">
        <v>7452</v>
      </c>
      <c r="F6" s="5">
        <v>6627</v>
      </c>
      <c r="G6" s="10">
        <v>6784</v>
      </c>
      <c r="H6" s="75">
        <f>3419*2</f>
        <v>6838</v>
      </c>
      <c r="J6" t="s">
        <v>117</v>
      </c>
      <c r="K6" s="7">
        <f>G7/365</f>
        <v>4.5972602739726032</v>
      </c>
      <c r="L6" s="7">
        <f>O12/342</f>
        <v>10.049707602339181</v>
      </c>
      <c r="M6" t="s">
        <v>118</v>
      </c>
      <c r="N6" t="s">
        <v>119</v>
      </c>
      <c r="P6" t="s">
        <v>100</v>
      </c>
      <c r="AA6" s="20" t="s">
        <v>116</v>
      </c>
      <c r="AB6" s="5">
        <v>10982</v>
      </c>
      <c r="AC6" s="5">
        <v>10150</v>
      </c>
      <c r="AD6" s="5">
        <v>8319</v>
      </c>
      <c r="AE6" s="5">
        <v>7452</v>
      </c>
      <c r="AF6" s="5">
        <v>6627</v>
      </c>
      <c r="AG6" s="21">
        <v>6784</v>
      </c>
    </row>
    <row r="7" spans="1:33" ht="33" thickBot="1" x14ac:dyDescent="0.25">
      <c r="A7" s="18" t="s">
        <v>120</v>
      </c>
      <c r="B7" s="11">
        <v>3724</v>
      </c>
      <c r="C7" s="11">
        <v>3331</v>
      </c>
      <c r="D7" s="11">
        <v>2465</v>
      </c>
      <c r="E7" s="11">
        <v>2109</v>
      </c>
      <c r="F7" s="11">
        <v>1753</v>
      </c>
      <c r="G7" s="49">
        <v>1678</v>
      </c>
      <c r="H7" s="75">
        <f>749*2</f>
        <v>1498</v>
      </c>
      <c r="J7" t="s">
        <v>121</v>
      </c>
      <c r="K7" s="7">
        <f>G8/365</f>
        <v>3.4164383561643836</v>
      </c>
      <c r="L7" s="7">
        <f>O7/365</f>
        <v>4.2739726027397262</v>
      </c>
      <c r="M7" t="s">
        <v>122</v>
      </c>
      <c r="N7" t="s">
        <v>106</v>
      </c>
      <c r="O7">
        <v>1560</v>
      </c>
      <c r="P7" s="4">
        <f>O7/O9</f>
        <v>0.92967818831942794</v>
      </c>
      <c r="AA7" s="22" t="s">
        <v>120</v>
      </c>
      <c r="AB7" s="50">
        <v>3724</v>
      </c>
      <c r="AC7" s="50">
        <v>3331</v>
      </c>
      <c r="AD7" s="50">
        <v>2465</v>
      </c>
      <c r="AE7" s="50">
        <v>2109</v>
      </c>
      <c r="AF7" s="50">
        <v>1753</v>
      </c>
      <c r="AG7" s="51">
        <v>1678</v>
      </c>
    </row>
    <row r="8" spans="1:33" ht="16" x14ac:dyDescent="0.2">
      <c r="A8" s="18" t="s">
        <v>123</v>
      </c>
      <c r="B8" s="11">
        <v>2440</v>
      </c>
      <c r="C8" s="11">
        <v>2121</v>
      </c>
      <c r="D8" s="11">
        <v>1569</v>
      </c>
      <c r="E8" s="11">
        <v>1441</v>
      </c>
      <c r="F8" s="11">
        <v>1235</v>
      </c>
      <c r="G8" s="49">
        <v>1247</v>
      </c>
      <c r="H8" s="75">
        <f>543*2</f>
        <v>1086</v>
      </c>
      <c r="N8" t="s">
        <v>110</v>
      </c>
      <c r="O8">
        <v>118</v>
      </c>
      <c r="P8" s="4">
        <f>O8/O9</f>
        <v>7.0321811680572111E-2</v>
      </c>
      <c r="AA8" s="52" t="s">
        <v>124</v>
      </c>
      <c r="AB8" s="53">
        <f t="shared" ref="AB8:AG10" si="2">AB5/365</f>
        <v>70.353424657534248</v>
      </c>
      <c r="AC8" s="53">
        <f t="shared" si="2"/>
        <v>60.476712328767121</v>
      </c>
      <c r="AD8" s="53">
        <f t="shared" si="2"/>
        <v>39.61917808219178</v>
      </c>
      <c r="AE8" s="53">
        <f t="shared" si="2"/>
        <v>41.61643835616438</v>
      </c>
      <c r="AF8" s="53">
        <f t="shared" si="2"/>
        <v>44.142465753424659</v>
      </c>
      <c r="AG8" s="54">
        <f t="shared" si="2"/>
        <v>53.153424657534245</v>
      </c>
    </row>
    <row r="9" spans="1:33" ht="32" x14ac:dyDescent="0.2">
      <c r="A9" s="41" t="s">
        <v>125</v>
      </c>
      <c r="B9" s="42">
        <f t="shared" ref="B9:H9" si="3">B6/B5</f>
        <v>0.42766462868491761</v>
      </c>
      <c r="C9" s="42">
        <f t="shared" si="3"/>
        <v>0.45981697925160825</v>
      </c>
      <c r="D9" s="42">
        <f t="shared" si="3"/>
        <v>0.57527141968051998</v>
      </c>
      <c r="E9" s="42">
        <f t="shared" si="3"/>
        <v>0.49058591178406846</v>
      </c>
      <c r="F9" s="42">
        <f t="shared" si="3"/>
        <v>0.4113083416087388</v>
      </c>
      <c r="G9" s="66">
        <f t="shared" si="3"/>
        <v>0.3496726972836452</v>
      </c>
      <c r="H9" s="42">
        <f t="shared" si="3"/>
        <v>0.33065764023210831</v>
      </c>
      <c r="N9" t="s">
        <v>126</v>
      </c>
      <c r="O9">
        <f>SUM(O7:O8)</f>
        <v>1678</v>
      </c>
      <c r="P9" t="s">
        <v>127</v>
      </c>
      <c r="Q9" t="s">
        <v>109</v>
      </c>
      <c r="R9" t="s">
        <v>128</v>
      </c>
      <c r="AA9" s="20" t="s">
        <v>129</v>
      </c>
      <c r="AB9" s="8">
        <f t="shared" si="2"/>
        <v>30.087671232876712</v>
      </c>
      <c r="AC9" s="8">
        <f t="shared" si="2"/>
        <v>27.80821917808219</v>
      </c>
      <c r="AD9" s="8">
        <f t="shared" si="2"/>
        <v>22.791780821917808</v>
      </c>
      <c r="AE9" s="8">
        <f t="shared" si="2"/>
        <v>20.416438356164385</v>
      </c>
      <c r="AF9" s="8">
        <f t="shared" si="2"/>
        <v>18.156164383561645</v>
      </c>
      <c r="AG9" s="48">
        <f t="shared" si="2"/>
        <v>18.586301369863012</v>
      </c>
    </row>
    <row r="10" spans="1:33" ht="33" thickBot="1" x14ac:dyDescent="0.25">
      <c r="A10" s="41" t="s">
        <v>130</v>
      </c>
      <c r="B10" s="43">
        <f t="shared" ref="B10:H10" si="4">B7/B5</f>
        <v>0.14502122356789596</v>
      </c>
      <c r="C10" s="43">
        <f t="shared" si="4"/>
        <v>0.1509015130923258</v>
      </c>
      <c r="D10" s="43">
        <f t="shared" si="4"/>
        <v>0.17045847451766821</v>
      </c>
      <c r="E10" s="43">
        <f t="shared" si="4"/>
        <v>0.13884134298880843</v>
      </c>
      <c r="F10" s="43">
        <f t="shared" si="4"/>
        <v>0.10880089374379344</v>
      </c>
      <c r="G10" s="67">
        <f t="shared" si="4"/>
        <v>8.6490387093448792E-2</v>
      </c>
      <c r="H10" s="43">
        <f t="shared" si="4"/>
        <v>7.2437137330754353E-2</v>
      </c>
      <c r="N10" t="s">
        <v>131</v>
      </c>
      <c r="O10">
        <v>1200</v>
      </c>
      <c r="P10" s="4">
        <f>O10/O9</f>
        <v>0.71513706793802145</v>
      </c>
      <c r="Q10" s="4">
        <f>O10/O3</f>
        <v>0.17688679245283018</v>
      </c>
      <c r="R10" s="4">
        <f>O10/(O3+O10)</f>
        <v>0.15030060120240482</v>
      </c>
      <c r="AA10" s="23" t="s">
        <v>132</v>
      </c>
      <c r="AB10" s="58">
        <f t="shared" si="2"/>
        <v>10.202739726027398</v>
      </c>
      <c r="AC10" s="58">
        <f t="shared" si="2"/>
        <v>9.1260273972602732</v>
      </c>
      <c r="AD10" s="58">
        <f t="shared" si="2"/>
        <v>6.7534246575342465</v>
      </c>
      <c r="AE10" s="58">
        <f t="shared" si="2"/>
        <v>5.7780821917808218</v>
      </c>
      <c r="AF10" s="58">
        <f t="shared" si="2"/>
        <v>4.8027397260273972</v>
      </c>
      <c r="AG10" s="59">
        <f t="shared" si="2"/>
        <v>4.5972602739726032</v>
      </c>
    </row>
    <row r="11" spans="1:33" ht="48" x14ac:dyDescent="0.2">
      <c r="A11" s="18" t="s">
        <v>133</v>
      </c>
      <c r="B11" s="12">
        <f t="shared" ref="B11:H11" si="5">B8/B7</f>
        <v>0.65520945220193338</v>
      </c>
      <c r="C11" s="12">
        <f t="shared" si="5"/>
        <v>0.6367457220054038</v>
      </c>
      <c r="D11" s="12">
        <f t="shared" si="5"/>
        <v>0.63651115618661258</v>
      </c>
      <c r="E11" s="12">
        <f t="shared" si="5"/>
        <v>0.6832622095779991</v>
      </c>
      <c r="F11" s="12">
        <f t="shared" si="5"/>
        <v>0.70450656018254421</v>
      </c>
      <c r="G11" s="68">
        <f t="shared" si="5"/>
        <v>0.74314660309892733</v>
      </c>
      <c r="H11" s="12">
        <f t="shared" si="5"/>
        <v>0.72496662216288388</v>
      </c>
      <c r="J11">
        <f>H7-H8</f>
        <v>412</v>
      </c>
      <c r="N11" t="s">
        <v>134</v>
      </c>
      <c r="P11" s="4"/>
      <c r="AA11" s="52" t="s">
        <v>135</v>
      </c>
      <c r="AB11" s="60">
        <f t="shared" ref="AB11:AG11" si="6">AB6/AB5</f>
        <v>0.42766462868491761</v>
      </c>
      <c r="AC11" s="60">
        <f t="shared" si="6"/>
        <v>0.45981697925160825</v>
      </c>
      <c r="AD11" s="60">
        <f t="shared" si="6"/>
        <v>0.57527141968051998</v>
      </c>
      <c r="AE11" s="60">
        <f t="shared" si="6"/>
        <v>0.49058591178406846</v>
      </c>
      <c r="AF11" s="60">
        <f t="shared" si="6"/>
        <v>0.4113083416087388</v>
      </c>
      <c r="AG11" s="61">
        <f t="shared" si="6"/>
        <v>0.3496726972836452</v>
      </c>
    </row>
    <row r="12" spans="1:33" ht="33" thickBot="1" x14ac:dyDescent="0.25">
      <c r="A12" s="22" t="s">
        <v>136</v>
      </c>
      <c r="B12" s="14">
        <f t="shared" ref="B12:H12" si="7">B8/B5</f>
        <v>9.5019276451575221E-2</v>
      </c>
      <c r="C12" s="14">
        <f t="shared" si="7"/>
        <v>9.6085892905680897E-2</v>
      </c>
      <c r="D12" s="14">
        <f t="shared" si="7"/>
        <v>0.10849872069704723</v>
      </c>
      <c r="E12" s="14">
        <f t="shared" si="7"/>
        <v>9.486504279131007E-2</v>
      </c>
      <c r="F12" s="14">
        <f t="shared" si="7"/>
        <v>7.6650943396226412E-2</v>
      </c>
      <c r="G12" s="69">
        <f t="shared" si="7"/>
        <v>6.4275037369207769E-2</v>
      </c>
      <c r="H12" s="12">
        <f t="shared" si="7"/>
        <v>5.2514506769825921E-2</v>
      </c>
      <c r="I12" t="s">
        <v>137</v>
      </c>
      <c r="K12" t="s">
        <v>104</v>
      </c>
      <c r="N12" t="s">
        <v>138</v>
      </c>
      <c r="O12">
        <f>G14</f>
        <v>3437</v>
      </c>
      <c r="P12" s="4">
        <f>O12/O14</f>
        <v>0.54477730226660326</v>
      </c>
      <c r="R12" t="s">
        <v>139</v>
      </c>
      <c r="AA12" s="23" t="s">
        <v>140</v>
      </c>
      <c r="AB12" s="15">
        <f t="shared" ref="AB12:AG12" si="8">AB7/AB5</f>
        <v>0.14502122356789596</v>
      </c>
      <c r="AC12" s="15">
        <f t="shared" si="8"/>
        <v>0.1509015130923258</v>
      </c>
      <c r="AD12" s="15">
        <f t="shared" si="8"/>
        <v>0.17045847451766821</v>
      </c>
      <c r="AE12" s="15">
        <f t="shared" si="8"/>
        <v>0.13884134298880843</v>
      </c>
      <c r="AF12" s="15">
        <f t="shared" si="8"/>
        <v>0.10880089374379344</v>
      </c>
      <c r="AG12" s="24">
        <f t="shared" si="8"/>
        <v>8.6490387093448792E-2</v>
      </c>
    </row>
    <row r="13" spans="1:33" ht="16" x14ac:dyDescent="0.2">
      <c r="A13" s="20" t="s">
        <v>141</v>
      </c>
      <c r="B13" s="5"/>
      <c r="C13" s="5"/>
      <c r="D13" s="5"/>
      <c r="E13" s="5">
        <v>7720</v>
      </c>
      <c r="F13" s="5">
        <v>8762</v>
      </c>
      <c r="G13" s="10">
        <v>6309</v>
      </c>
      <c r="H13" s="75">
        <v>8300</v>
      </c>
      <c r="I13">
        <f>SUM(E13:H13)</f>
        <v>31091</v>
      </c>
      <c r="J13" t="s">
        <v>142</v>
      </c>
      <c r="K13" s="7">
        <f>G13/342</f>
        <v>18.44736842105263</v>
      </c>
      <c r="L13" t="s">
        <v>142</v>
      </c>
      <c r="N13" t="s">
        <v>143</v>
      </c>
      <c r="O13">
        <f>G13-O12</f>
        <v>2872</v>
      </c>
      <c r="P13" s="4">
        <f>O13/O14</f>
        <v>0.45522269773339674</v>
      </c>
      <c r="R13" t="s">
        <v>144</v>
      </c>
      <c r="S13" s="4">
        <f>O12/O3</f>
        <v>0.50663325471698117</v>
      </c>
      <c r="T13" s="4">
        <f>O12/(O12+O3)</f>
        <v>0.33626846688190981</v>
      </c>
      <c r="U13" t="s">
        <v>145</v>
      </c>
      <c r="AA13" s="52" t="s">
        <v>97</v>
      </c>
      <c r="AB13" s="62">
        <f t="shared" ref="AB13:AG13" si="9">B1</f>
        <v>14697</v>
      </c>
      <c r="AC13" s="62">
        <f t="shared" si="9"/>
        <v>11924</v>
      </c>
      <c r="AD13" s="62">
        <f t="shared" si="9"/>
        <v>6142</v>
      </c>
      <c r="AE13" s="62">
        <f t="shared" si="9"/>
        <v>7738</v>
      </c>
      <c r="AF13" s="62">
        <f t="shared" si="9"/>
        <v>9485</v>
      </c>
      <c r="AG13" s="63">
        <f t="shared" si="9"/>
        <v>12617</v>
      </c>
    </row>
    <row r="14" spans="1:33" ht="33" thickBot="1" x14ac:dyDescent="0.25">
      <c r="A14" s="20" t="s">
        <v>146</v>
      </c>
      <c r="B14" s="5"/>
      <c r="C14" s="5"/>
      <c r="D14" s="5"/>
      <c r="E14" s="5">
        <v>499</v>
      </c>
      <c r="F14" s="5">
        <v>2349</v>
      </c>
      <c r="G14" s="10">
        <v>3437</v>
      </c>
      <c r="H14" s="75">
        <v>5600</v>
      </c>
      <c r="I14">
        <f>SUM(E14:H14)</f>
        <v>11885</v>
      </c>
      <c r="J14" t="s">
        <v>147</v>
      </c>
      <c r="K14" s="7">
        <f>G14/342</f>
        <v>10.049707602339181</v>
      </c>
      <c r="L14" t="s">
        <v>147</v>
      </c>
      <c r="N14" t="s">
        <v>148</v>
      </c>
      <c r="O14">
        <f>SUM(O12:O13)</f>
        <v>6309</v>
      </c>
      <c r="S14" s="4">
        <f>O14/O3</f>
        <v>0.92998231132075471</v>
      </c>
      <c r="AA14" s="55" t="s">
        <v>149</v>
      </c>
      <c r="AB14" s="56">
        <f t="shared" ref="AB14:AG14" si="10">AB13/AB5</f>
        <v>0.57233537131508239</v>
      </c>
      <c r="AC14" s="56">
        <f t="shared" si="10"/>
        <v>0.54018302074839175</v>
      </c>
      <c r="AD14" s="56">
        <f t="shared" si="10"/>
        <v>0.42472858031947996</v>
      </c>
      <c r="AE14" s="56">
        <f t="shared" si="10"/>
        <v>0.50941408821593148</v>
      </c>
      <c r="AF14" s="56">
        <f t="shared" si="10"/>
        <v>0.58869165839126114</v>
      </c>
      <c r="AG14" s="57">
        <f t="shared" si="10"/>
        <v>0.65032730271635486</v>
      </c>
    </row>
    <row r="15" spans="1:33" ht="32" x14ac:dyDescent="0.2">
      <c r="A15" s="20" t="s">
        <v>150</v>
      </c>
      <c r="B15" s="5"/>
      <c r="C15" s="5"/>
      <c r="D15" s="5"/>
      <c r="E15" s="5">
        <v>134</v>
      </c>
      <c r="F15" s="5">
        <v>1086</v>
      </c>
      <c r="G15" s="10">
        <v>1200</v>
      </c>
      <c r="H15" s="75">
        <v>1600</v>
      </c>
      <c r="J15">
        <f>B7-B8</f>
        <v>1284</v>
      </c>
      <c r="K15">
        <f t="shared" ref="K15:L15" si="11">C7-C8</f>
        <v>1210</v>
      </c>
      <c r="L15">
        <f t="shared" si="11"/>
        <v>896</v>
      </c>
      <c r="M15" t="s">
        <v>151</v>
      </c>
      <c r="R15" t="s">
        <v>152</v>
      </c>
    </row>
    <row r="16" spans="1:33" ht="32" x14ac:dyDescent="0.2">
      <c r="A16" s="37" t="s">
        <v>153</v>
      </c>
      <c r="B16" s="33"/>
      <c r="C16" s="33"/>
      <c r="D16" s="33"/>
      <c r="E16" s="38">
        <f>E14/E13</f>
        <v>6.4637305699481867E-2</v>
      </c>
      <c r="F16" s="38">
        <f>F14/F13</f>
        <v>0.26808947728829036</v>
      </c>
      <c r="G16" s="81">
        <f>G14/G13</f>
        <v>0.54477730226660326</v>
      </c>
      <c r="H16" s="43">
        <f>H14/H13</f>
        <v>0.67469879518072284</v>
      </c>
      <c r="I16" s="4"/>
      <c r="J16">
        <f>E7-E8</f>
        <v>668</v>
      </c>
      <c r="K16">
        <f t="shared" ref="K16:M16" si="12">F7-F8</f>
        <v>518</v>
      </c>
      <c r="L16">
        <f t="shared" si="12"/>
        <v>431</v>
      </c>
      <c r="M16">
        <f t="shared" si="12"/>
        <v>412</v>
      </c>
      <c r="N16" t="s">
        <v>154</v>
      </c>
    </row>
    <row r="17" spans="1:10" ht="48" x14ac:dyDescent="0.2">
      <c r="A17" s="39" t="s">
        <v>155</v>
      </c>
      <c r="B17" s="40"/>
      <c r="C17" s="40"/>
      <c r="D17" s="40"/>
      <c r="E17" s="40">
        <f t="shared" ref="E17:F17" si="13">E15/E14</f>
        <v>0.26853707414829658</v>
      </c>
      <c r="F17" s="40">
        <f t="shared" si="13"/>
        <v>0.4623243933588761</v>
      </c>
      <c r="G17" s="80">
        <f>G15/G14</f>
        <v>0.34914169333721268</v>
      </c>
      <c r="H17" s="70">
        <f>H15/H14</f>
        <v>0.2857142857142857</v>
      </c>
      <c r="J17" s="4">
        <f>G15/G14</f>
        <v>0.34914169333721268</v>
      </c>
    </row>
    <row r="18" spans="1:10" ht="32" x14ac:dyDescent="0.2">
      <c r="A18" s="25" t="s">
        <v>156</v>
      </c>
      <c r="B18" s="9"/>
      <c r="C18" s="9"/>
      <c r="D18" s="9"/>
      <c r="E18" s="26">
        <f>E14/E6</f>
        <v>6.6961889425657548E-2</v>
      </c>
      <c r="F18" s="26">
        <f>F14/F6</f>
        <v>0.35445903123585332</v>
      </c>
      <c r="G18" s="71">
        <f>G14/G6</f>
        <v>0.50663325471698117</v>
      </c>
      <c r="H18" s="71">
        <f>H14/H6</f>
        <v>0.81895291020766303</v>
      </c>
      <c r="J18">
        <f>H14/(H14+H6)</f>
        <v>0.45023315645602185</v>
      </c>
    </row>
    <row r="19" spans="1:10" ht="48" x14ac:dyDescent="0.2">
      <c r="A19" s="20" t="s">
        <v>157</v>
      </c>
      <c r="B19" s="13"/>
      <c r="C19" s="13"/>
      <c r="D19" s="13"/>
      <c r="E19" s="15">
        <f>E15/E6</f>
        <v>1.7981749865807837E-2</v>
      </c>
      <c r="F19" s="15">
        <f>F15/F6</f>
        <v>0.1638750565866908</v>
      </c>
      <c r="G19" s="82">
        <f>G15/G6</f>
        <v>0.17688679245283018</v>
      </c>
      <c r="H19" s="72">
        <f>H15/H6</f>
        <v>0.23398654577361802</v>
      </c>
    </row>
    <row r="20" spans="1:10" ht="64" x14ac:dyDescent="0.2">
      <c r="A20" s="76" t="s">
        <v>158</v>
      </c>
      <c r="B20" s="77"/>
      <c r="C20" s="77"/>
      <c r="D20" s="77"/>
      <c r="E20" s="78">
        <f>E15/E7</f>
        <v>6.353722143195828E-2</v>
      </c>
      <c r="F20" s="78">
        <f>F15/F7</f>
        <v>0.61950941243582425</v>
      </c>
      <c r="G20" s="79">
        <f>G15/G7</f>
        <v>0.71513706793802145</v>
      </c>
      <c r="H20" s="79">
        <f>H15/H7</f>
        <v>1.0680907877169559</v>
      </c>
    </row>
    <row r="21" spans="1:10" ht="80" x14ac:dyDescent="0.2">
      <c r="A21" s="32" t="s">
        <v>159</v>
      </c>
      <c r="B21" s="33"/>
      <c r="C21" s="33"/>
      <c r="D21" s="33"/>
      <c r="E21" s="34">
        <f>E15/(E6+E15)</f>
        <v>1.7664118112312156E-2</v>
      </c>
      <c r="F21" s="34">
        <f>F15/(F6+F15)</f>
        <v>0.14080124465188643</v>
      </c>
      <c r="G21" s="73">
        <f>G15/(G6+G15)</f>
        <v>0.15030060120240482</v>
      </c>
      <c r="H21" s="73">
        <f>H15/(H6+H15)</f>
        <v>0.18961839298411945</v>
      </c>
    </row>
    <row r="22" spans="1:10" ht="80" x14ac:dyDescent="0.2">
      <c r="A22" s="32" t="s">
        <v>160</v>
      </c>
      <c r="B22" s="35"/>
      <c r="C22" s="35"/>
      <c r="D22" s="35"/>
      <c r="E22" s="36">
        <f>E15/(E15+E7)</f>
        <v>5.974141774409273E-2</v>
      </c>
      <c r="F22" s="36">
        <f>F15/(F15+F7)</f>
        <v>0.38252905952800281</v>
      </c>
      <c r="G22" s="74">
        <f>G15/(G15+G7)</f>
        <v>0.41695621959694235</v>
      </c>
      <c r="H22" s="74">
        <f>H15/(H15+H7)</f>
        <v>0.51646223369916078</v>
      </c>
    </row>
    <row r="23" spans="1:10" ht="48" x14ac:dyDescent="0.2">
      <c r="A23" s="32" t="s">
        <v>161</v>
      </c>
      <c r="B23" s="35"/>
      <c r="C23" s="35"/>
      <c r="D23" s="35"/>
      <c r="E23" s="36">
        <f>E14/(E14+E6)</f>
        <v>6.275940133316564E-2</v>
      </c>
      <c r="F23" s="36">
        <f>F14/(F14+F6)</f>
        <v>0.26169786096256686</v>
      </c>
      <c r="G23" s="74">
        <f>G14/(G14+G6)</f>
        <v>0.33626846688190981</v>
      </c>
      <c r="H23" s="74">
        <f>H14/(H14+H6)</f>
        <v>0.45023315645602185</v>
      </c>
    </row>
    <row r="24" spans="1:10" x14ac:dyDescent="0.2"/>
    <row r="27" spans="1:10" ht="32" x14ac:dyDescent="0.2">
      <c r="A27" s="18" t="s">
        <v>107</v>
      </c>
      <c r="B27" s="18"/>
    </row>
    <row r="28" spans="1:10" ht="16" x14ac:dyDescent="0.2">
      <c r="A28" s="18" t="s">
        <v>113</v>
      </c>
      <c r="B28" s="18"/>
    </row>
    <row r="29" spans="1:10" ht="16" x14ac:dyDescent="0.2">
      <c r="A29" s="20" t="s">
        <v>116</v>
      </c>
      <c r="B29" s="20"/>
    </row>
    <row r="30" spans="1:10" ht="32" x14ac:dyDescent="0.2">
      <c r="A30" s="18" t="s">
        <v>120</v>
      </c>
      <c r="B30" s="18"/>
    </row>
    <row r="31" spans="1:10" ht="16" x14ac:dyDescent="0.2">
      <c r="A31" s="18" t="s">
        <v>123</v>
      </c>
      <c r="B31" s="18"/>
    </row>
    <row r="32" spans="1:10" ht="32" x14ac:dyDescent="0.2">
      <c r="A32" s="18" t="s">
        <v>125</v>
      </c>
      <c r="B32" s="18"/>
    </row>
    <row r="33" spans="1:14" ht="32" x14ac:dyDescent="0.2">
      <c r="A33" s="18" t="s">
        <v>130</v>
      </c>
      <c r="B33" s="18"/>
    </row>
    <row r="34" spans="1:14" ht="48" x14ac:dyDescent="0.2">
      <c r="A34" s="18" t="s">
        <v>133</v>
      </c>
      <c r="B34" s="18"/>
    </row>
    <row r="35" spans="1:14" ht="32" x14ac:dyDescent="0.2">
      <c r="A35" s="22" t="s">
        <v>136</v>
      </c>
      <c r="B35" s="22"/>
    </row>
    <row r="36" spans="1:14" ht="16" x14ac:dyDescent="0.2">
      <c r="A36" s="20" t="s">
        <v>141</v>
      </c>
      <c r="B36" s="20"/>
    </row>
    <row r="37" spans="1:14" ht="16" x14ac:dyDescent="0.2">
      <c r="A37" s="20" t="s">
        <v>146</v>
      </c>
      <c r="B37" s="20"/>
    </row>
    <row r="38" spans="1:14" ht="32" x14ac:dyDescent="0.2">
      <c r="A38" s="20" t="s">
        <v>150</v>
      </c>
      <c r="B38" s="20"/>
    </row>
    <row r="39" spans="1:14" ht="32" x14ac:dyDescent="0.2">
      <c r="A39" s="23" t="s">
        <v>153</v>
      </c>
      <c r="B39" s="23"/>
    </row>
    <row r="40" spans="1:14" ht="48" x14ac:dyDescent="0.2">
      <c r="A40" s="27" t="s">
        <v>155</v>
      </c>
      <c r="B40" s="27"/>
      <c r="N40" s="20" t="s">
        <v>157</v>
      </c>
    </row>
    <row r="41" spans="1:14" ht="48" x14ac:dyDescent="0.2">
      <c r="A41" s="25" t="s">
        <v>156</v>
      </c>
      <c r="B41" s="25"/>
      <c r="N41" s="25" t="s">
        <v>161</v>
      </c>
    </row>
    <row r="42" spans="1:14" ht="48" x14ac:dyDescent="0.2">
      <c r="A42" s="20" t="s">
        <v>157</v>
      </c>
      <c r="B42" s="29"/>
    </row>
    <row r="43" spans="1:14" ht="64" x14ac:dyDescent="0.2">
      <c r="A43" s="23" t="s">
        <v>158</v>
      </c>
      <c r="B43" s="23"/>
    </row>
    <row r="44" spans="1:14" ht="80" x14ac:dyDescent="0.2">
      <c r="A44" s="25" t="s">
        <v>159</v>
      </c>
      <c r="B44" s="31"/>
      <c r="N44" s="18" t="s">
        <v>130</v>
      </c>
    </row>
    <row r="45" spans="1:14" ht="80" x14ac:dyDescent="0.2">
      <c r="A45" s="25" t="s">
        <v>160</v>
      </c>
      <c r="B45" s="30"/>
    </row>
    <row r="46" spans="1:14" ht="64" x14ac:dyDescent="0.2">
      <c r="A46" s="25" t="s">
        <v>161</v>
      </c>
      <c r="B46" s="28" t="s">
        <v>162</v>
      </c>
      <c r="E46" t="s">
        <v>163</v>
      </c>
    </row>
    <row r="47" spans="1:14" x14ac:dyDescent="0.2"/>
    <row r="48" spans="1:14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</sheetData>
  <mergeCells count="2">
    <mergeCell ref="C3:D3"/>
    <mergeCell ref="AC3:AD3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2026 Output Data</vt:lpstr>
      <vt:lpstr>2025 Output Data</vt:lpstr>
      <vt:lpstr>2024 Output Data</vt:lpstr>
      <vt:lpstr>2023 Output Data</vt:lpstr>
      <vt:lpstr>2022 Output Data</vt:lpstr>
      <vt:lpstr>OPD Comparative Data</vt:lpstr>
      <vt:lpstr>'2024 Output Data'!Print_Area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Jones, Elliott</dc:creator>
  <cp:keywords/>
  <dc:description/>
  <cp:lastModifiedBy>Risker, Tina</cp:lastModifiedBy>
  <cp:revision/>
  <dcterms:created xsi:type="dcterms:W3CDTF">2024-01-03T17:38:48Z</dcterms:created>
  <dcterms:modified xsi:type="dcterms:W3CDTF">2026-08-05T18:40:27Z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884abc6-c776-498d-b11d-3b41665a25ac_Enabled">
    <vt:lpwstr>true</vt:lpwstr>
  </property>
  <property fmtid="{D5CDD505-2E9C-101B-9397-08002B2CF9AE}" pid="3" name="MSIP_Label_8884abc6-c776-498d-b11d-3b41665a25ac_SetDate">
    <vt:lpwstr>2026-05-06T20:59:40Z</vt:lpwstr>
  </property>
  <property fmtid="{D5CDD505-2E9C-101B-9397-08002B2CF9AE}" pid="4" name="MSIP_Label_8884abc6-c776-498d-b11d-3b41665a25ac_Method">
    <vt:lpwstr>Standard</vt:lpwstr>
  </property>
  <property fmtid="{D5CDD505-2E9C-101B-9397-08002B2CF9AE}" pid="5" name="MSIP_Label_8884abc6-c776-498d-b11d-3b41665a25ac_Name">
    <vt:lpwstr>PRD Internal</vt:lpwstr>
  </property>
  <property fmtid="{D5CDD505-2E9C-101B-9397-08002B2CF9AE}" pid="6" name="MSIP_Label_8884abc6-c776-498d-b11d-3b41665a25ac_SiteId">
    <vt:lpwstr>989a2180-6fbc-47f1-8032-1a9ee969c58d</vt:lpwstr>
  </property>
  <property fmtid="{D5CDD505-2E9C-101B-9397-08002B2CF9AE}" pid="7" name="MSIP_Label_8884abc6-c776-498d-b11d-3b41665a25ac_ActionId">
    <vt:lpwstr>0e34caf4-9c35-4500-9175-e1fe606841b1</vt:lpwstr>
  </property>
  <property fmtid="{D5CDD505-2E9C-101B-9397-08002B2CF9AE}" pid="8" name="MSIP_Label_8884abc6-c776-498d-b11d-3b41665a25ac_ContentBits">
    <vt:lpwstr>0</vt:lpwstr>
  </property>
  <property fmtid="{D5CDD505-2E9C-101B-9397-08002B2CF9AE}" pid="9" name="MSIP_Label_8884abc6-c776-498d-b11d-3b41665a25ac_Tag">
    <vt:lpwstr>10, 3, 0, 2</vt:lpwstr>
  </property>
</Properties>
</file>